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activeTab="0"/>
  </bookViews>
  <sheets>
    <sheet name="Agencias" sheetId="1" r:id="rId1"/>
    <sheet name="Hoja1" sheetId="2" state="hidden" r:id="rId2"/>
  </sheets>
  <definedNames>
    <definedName name="_xlnm.Print_Area" localSheetId="0">'Agencias'!$A$1:$Q$184</definedName>
  </definedNames>
  <calcPr fullCalcOnLoad="1"/>
</workbook>
</file>

<file path=xl/sharedStrings.xml><?xml version="1.0" encoding="utf-8"?>
<sst xmlns="http://schemas.openxmlformats.org/spreadsheetml/2006/main" count="103" uniqueCount="35">
  <si>
    <t>Alsasua</t>
  </si>
  <si>
    <t>Aoiz</t>
  </si>
  <si>
    <t>Pamplona</t>
  </si>
  <si>
    <t>Tudela</t>
  </si>
  <si>
    <t>Santesteban</t>
  </si>
  <si>
    <t>Lodosa</t>
  </si>
  <si>
    <t>Estella</t>
  </si>
  <si>
    <t>Tafalla</t>
  </si>
  <si>
    <t>Ensanche</t>
  </si>
  <si>
    <t>Yamaguchi</t>
  </si>
  <si>
    <t>Rochapea</t>
  </si>
  <si>
    <t>INFORME PARO REGISTRADO POR AGENCIAS.VARIACIÓN INTERANUAL</t>
  </si>
  <si>
    <t>Evolución Paro Registrado por Agencias. Variación Interanual</t>
  </si>
  <si>
    <t>TOTAL</t>
  </si>
  <si>
    <t>Evolución del Peso del Paro Registrado según Agencias. Variación Interanual</t>
  </si>
  <si>
    <t>Gráficos Paro Registrado según Agencias. Variación Interanual</t>
  </si>
  <si>
    <t>% Incremento</t>
  </si>
  <si>
    <t>Agencias\Mes</t>
  </si>
  <si>
    <t>OFICINA</t>
  </si>
  <si>
    <t>Jerarquía</t>
  </si>
  <si>
    <t>Diferencia 2016-2017</t>
  </si>
  <si>
    <t>INTERANUAL</t>
  </si>
  <si>
    <t>INTERMENSUAL</t>
  </si>
  <si>
    <t>%</t>
  </si>
  <si>
    <t>Abs.</t>
  </si>
  <si>
    <t>Diferencia abril-marzo</t>
  </si>
  <si>
    <t>% var.Año</t>
  </si>
  <si>
    <t>% var.Mes</t>
  </si>
  <si>
    <t>Agencias\Año</t>
  </si>
  <si>
    <t>Diferencia Intermensual</t>
  </si>
  <si>
    <t>Diferencia       Interanual</t>
  </si>
  <si>
    <t>Agencias Pamplona</t>
  </si>
  <si>
    <t>INF 94/2017</t>
  </si>
  <si>
    <t>(Agosto 2017 -Agosto 2016)</t>
  </si>
  <si>
    <t>(Agosto 2017 - Agosto 2016)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</si>
</sst>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b/>
      <i/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i/>
      <sz val="8"/>
      <name val="MS Sans Serif"/>
      <family val="2"/>
    </font>
    <font>
      <sz val="9"/>
      <name val="Arial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sz val="10.75"/>
      <color indexed="8"/>
      <name val="Arial"/>
      <family val="0"/>
    </font>
    <font>
      <sz val="6"/>
      <color indexed="8"/>
      <name val="Arial"/>
      <family val="0"/>
    </font>
    <font>
      <sz val="4.8"/>
      <color indexed="8"/>
      <name val="Arial"/>
      <family val="0"/>
    </font>
    <font>
      <sz val="9"/>
      <color indexed="8"/>
      <name val="Arial"/>
      <family val="0"/>
    </font>
    <font>
      <sz val="5.75"/>
      <color indexed="8"/>
      <name val="Arial"/>
      <family val="0"/>
    </font>
    <font>
      <sz val="4.7"/>
      <color indexed="8"/>
      <name val="Arial"/>
      <family val="0"/>
    </font>
    <font>
      <sz val="9.25"/>
      <color indexed="8"/>
      <name val="Arial"/>
      <family val="0"/>
    </font>
    <font>
      <b/>
      <sz val="9"/>
      <color indexed="9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25"/>
      <color indexed="8"/>
      <name val="Arial"/>
      <family val="0"/>
    </font>
    <font>
      <b/>
      <sz val="9.25"/>
      <color indexed="8"/>
      <name val="Arial"/>
      <family val="0"/>
    </font>
    <font>
      <b/>
      <sz val="8.7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33" borderId="10" xfId="0" applyFont="1" applyFill="1" applyBorder="1" applyAlignment="1">
      <alignment horizontal="left"/>
    </xf>
    <xf numFmtId="0" fontId="1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3" fontId="15" fillId="33" borderId="11" xfId="0" applyNumberFormat="1" applyFont="1" applyFill="1" applyBorder="1" applyAlignment="1">
      <alignment horizontal="left"/>
    </xf>
    <xf numFmtId="0" fontId="15" fillId="34" borderId="11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7" fillId="0" borderId="11" xfId="0" applyNumberFormat="1" applyFont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6" fillId="34" borderId="11" xfId="0" applyFont="1" applyFill="1" applyBorder="1" applyAlignment="1">
      <alignment/>
    </xf>
    <xf numFmtId="17" fontId="15" fillId="34" borderId="13" xfId="0" applyNumberFormat="1" applyFont="1" applyFill="1" applyBorder="1" applyAlignment="1">
      <alignment horizontal="center"/>
    </xf>
    <xf numFmtId="17" fontId="20" fillId="34" borderId="11" xfId="0" applyNumberFormat="1" applyFont="1" applyFill="1" applyBorder="1" applyAlignment="1">
      <alignment horizontal="center" wrapText="1"/>
    </xf>
    <xf numFmtId="17" fontId="21" fillId="34" borderId="11" xfId="0" applyNumberFormat="1" applyFont="1" applyFill="1" applyBorder="1" applyAlignment="1">
      <alignment horizontal="center" wrapText="1"/>
    </xf>
    <xf numFmtId="3" fontId="17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 horizontal="center"/>
    </xf>
    <xf numFmtId="3" fontId="17" fillId="33" borderId="12" xfId="0" applyNumberFormat="1" applyFont="1" applyFill="1" applyBorder="1" applyAlignment="1">
      <alignment/>
    </xf>
    <xf numFmtId="3" fontId="17" fillId="33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/>
    </xf>
    <xf numFmtId="0" fontId="5" fillId="0" borderId="11" xfId="0" applyFont="1" applyFill="1" applyBorder="1" applyAlignment="1">
      <alignment horizontal="left"/>
    </xf>
    <xf numFmtId="3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165" fontId="16" fillId="34" borderId="11" xfId="54" applyNumberFormat="1" applyFont="1" applyFill="1" applyBorder="1" applyAlignment="1">
      <alignment/>
    </xf>
    <xf numFmtId="0" fontId="19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0" fontId="17" fillId="0" borderId="11" xfId="54" applyNumberFormat="1" applyFont="1" applyBorder="1" applyAlignment="1">
      <alignment/>
    </xf>
    <xf numFmtId="10" fontId="17" fillId="0" borderId="11" xfId="54" applyNumberFormat="1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10" fontId="16" fillId="34" borderId="11" xfId="54" applyNumberFormat="1" applyFont="1" applyFill="1" applyBorder="1" applyAlignment="1">
      <alignment/>
    </xf>
    <xf numFmtId="0" fontId="0" fillId="0" borderId="0" xfId="0" applyAlignment="1">
      <alignment horizontal="left"/>
    </xf>
    <xf numFmtId="17" fontId="20" fillId="34" borderId="15" xfId="0" applyNumberFormat="1" applyFont="1" applyFill="1" applyBorder="1" applyAlignment="1">
      <alignment horizontal="center" wrapText="1"/>
    </xf>
    <xf numFmtId="17" fontId="21" fillId="34" borderId="15" xfId="0" applyNumberFormat="1" applyFont="1" applyFill="1" applyBorder="1" applyAlignment="1">
      <alignment horizont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/>
    </xf>
    <xf numFmtId="3" fontId="17" fillId="33" borderId="14" xfId="0" applyNumberFormat="1" applyFont="1" applyFill="1" applyBorder="1" applyAlignment="1">
      <alignment horizontal="center" vertical="center"/>
    </xf>
    <xf numFmtId="10" fontId="17" fillId="0" borderId="14" xfId="54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top" wrapText="1"/>
    </xf>
    <xf numFmtId="10" fontId="0" fillId="0" borderId="14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10" fontId="0" fillId="0" borderId="18" xfId="0" applyNumberFormat="1" applyFont="1" applyFill="1" applyBorder="1" applyAlignment="1">
      <alignment vertical="top" wrapText="1"/>
    </xf>
    <xf numFmtId="10" fontId="0" fillId="0" borderId="17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10" fontId="16" fillId="0" borderId="11" xfId="54" applyNumberFormat="1" applyFont="1" applyBorder="1" applyAlignment="1">
      <alignment/>
    </xf>
    <xf numFmtId="3" fontId="17" fillId="35" borderId="11" xfId="0" applyNumberFormat="1" applyFont="1" applyFill="1" applyBorder="1" applyAlignment="1">
      <alignment/>
    </xf>
    <xf numFmtId="3" fontId="18" fillId="35" borderId="11" xfId="0" applyNumberFormat="1" applyFont="1" applyFill="1" applyBorder="1" applyAlignment="1">
      <alignment/>
    </xf>
    <xf numFmtId="3" fontId="16" fillId="35" borderId="11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u val="none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mismo mes año anterior
(Agosto 2017- Agosto 2016)</a:t>
            </a:r>
          </a:p>
        </c:rich>
      </c:tx>
      <c:layout>
        <c:manualLayout>
          <c:xMode val="factor"/>
          <c:yMode val="factor"/>
          <c:x val="-0.004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815"/>
          <c:w val="0.8662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Agencias!$I$37</c:f>
              <c:strCache>
                <c:ptCount val="1"/>
                <c:pt idx="0">
                  <c:v>ago-16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Agencias!$I$38:$I$48</c:f>
              <c:numCache/>
            </c:numRef>
          </c:val>
        </c:ser>
        <c:ser>
          <c:idx val="1"/>
          <c:order val="1"/>
          <c:tx>
            <c:strRef>
              <c:f>Agencias!$I$51</c:f>
              <c:strCache>
                <c:ptCount val="1"/>
                <c:pt idx="0">
                  <c:v>ago-17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Agencias!$I$52:$I$62</c:f>
              <c:numCache/>
            </c:numRef>
          </c:val>
        </c:ser>
        <c:axId val="61636006"/>
        <c:axId val="17853143"/>
      </c:barChart>
      <c:catAx>
        <c:axId val="6163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3143"/>
        <c:crosses val="autoZero"/>
        <c:auto val="1"/>
        <c:lblOffset val="100"/>
        <c:tickLblSkip val="1"/>
        <c:noMultiLvlLbl val="0"/>
      </c:catAx>
      <c:valAx>
        <c:axId val="178531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34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6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25"/>
          <c:y val="0.4615"/>
          <c:w val="0.0955"/>
          <c:h val="0.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Peso (%) del Paro según Agencias con respecto al total de Paro. 
Agosto 2017 - Agosto 2016</a:t>
            </a:r>
          </a:p>
        </c:rich>
      </c:tx>
      <c:layout>
        <c:manualLayout>
          <c:xMode val="factor"/>
          <c:yMode val="factor"/>
          <c:x val="-0.046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59175"/>
          <c:w val="0.821"/>
          <c:h val="0.3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Agencias!$I$88</c:f>
              <c:strCache>
                <c:ptCount val="1"/>
                <c:pt idx="0">
                  <c:v>ago-16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Agencias!$I$89:$I$100</c:f>
              <c:numCache/>
            </c:numRef>
          </c:val>
        </c:ser>
        <c:ser>
          <c:idx val="1"/>
          <c:order val="1"/>
          <c:tx>
            <c:strRef>
              <c:f>Agencias!$I$102</c:f>
              <c:strCache>
                <c:ptCount val="1"/>
                <c:pt idx="0">
                  <c:v>ago-17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Agencias!$I$103:$I$114</c:f>
              <c:numCache/>
            </c:numRef>
          </c:val>
        </c:ser>
        <c:axId val="26460560"/>
        <c:axId val="36818449"/>
      </c:barChart>
      <c:catAx>
        <c:axId val="26460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18449"/>
        <c:crosses val="autoZero"/>
        <c:auto val="1"/>
        <c:lblOffset val="100"/>
        <c:tickLblSkip val="1"/>
        <c:noMultiLvlLbl val="0"/>
      </c:catAx>
      <c:valAx>
        <c:axId val="36818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60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46425"/>
          <c:w val="0.1152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Interanual del Paro según Agencias. 
Agosto 2017- Agosto 2016</a:t>
            </a:r>
          </a:p>
        </c:rich>
      </c:tx>
      <c:layout>
        <c:manualLayout>
          <c:xMode val="factor"/>
          <c:yMode val="factor"/>
          <c:x val="0.02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25"/>
          <c:y val="0.15375"/>
          <c:w val="0.9717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Agencias!$Q$51</c:f>
              <c:strCache>
                <c:ptCount val="1"/>
                <c:pt idx="0">
                  <c:v>% var.Año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Agencias!$A$52:$A$63</c:f>
              <c:strCache/>
            </c:strRef>
          </c:cat>
          <c:val>
            <c:numRef>
              <c:f>Agencias!$Q$52:$Q$62</c:f>
              <c:numCache/>
            </c:numRef>
          </c:val>
        </c:ser>
        <c:axId val="62930586"/>
        <c:axId val="29504363"/>
      </c:barChart>
      <c:catAx>
        <c:axId val="6293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04363"/>
        <c:crosses val="autoZero"/>
        <c:auto val="1"/>
        <c:lblOffset val="100"/>
        <c:tickLblSkip val="1"/>
        <c:noMultiLvlLbl val="0"/>
      </c:catAx>
      <c:valAx>
        <c:axId val="295043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30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Mes anterior
(Agosto 2017-Julio 2017)</a:t>
            </a:r>
          </a:p>
        </c:rich>
      </c:tx>
      <c:layout>
        <c:manualLayout>
          <c:xMode val="factor"/>
          <c:yMode val="factor"/>
          <c:x val="-0.03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8875"/>
          <c:w val="0.797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Agencias!$I$51</c:f>
              <c:strCache>
                <c:ptCount val="1"/>
                <c:pt idx="0">
                  <c:v>ago-17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Agencias!#REF!</c:f>
            </c:strRef>
          </c:cat>
          <c:val>
            <c:numRef>
              <c:f>Agencias!$I$52:$I$62</c:f>
              <c:numCache/>
            </c:numRef>
          </c:val>
        </c:ser>
        <c:ser>
          <c:idx val="1"/>
          <c:order val="1"/>
          <c:tx>
            <c:strRef>
              <c:f>Agencias!$H$51</c:f>
              <c:strCache>
                <c:ptCount val="1"/>
                <c:pt idx="0">
                  <c:v>jul-17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Agencias!#REF!</c:f>
            </c:strRef>
          </c:cat>
          <c:val>
            <c:numRef>
              <c:f>Agencias!$H$52:$H$62</c:f>
              <c:numCache/>
            </c:numRef>
          </c:val>
        </c:ser>
        <c:axId val="64212676"/>
        <c:axId val="41043173"/>
      </c:barChart>
      <c:catAx>
        <c:axId val="64212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43173"/>
        <c:crosses val="autoZero"/>
        <c:auto val="1"/>
        <c:lblOffset val="100"/>
        <c:tickLblSkip val="1"/>
        <c:noMultiLvlLbl val="0"/>
      </c:catAx>
      <c:valAx>
        <c:axId val="410431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2676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45025"/>
          <c:w val="0.1157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Intermensual del Paro según Agencias. 
Agosto 2017- Julio 2017</a:t>
            </a:r>
          </a:p>
        </c:rich>
      </c:tx>
      <c:layout>
        <c:manualLayout>
          <c:xMode val="factor"/>
          <c:yMode val="factor"/>
          <c:x val="0.03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5"/>
          <c:y val="0.15225"/>
          <c:w val="0.974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Agencias!$O$51</c:f>
              <c:strCache>
                <c:ptCount val="1"/>
                <c:pt idx="0">
                  <c:v>% var.Mes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Agencias!$A$52:$A$63</c:f>
              <c:strCache/>
            </c:strRef>
          </c:cat>
          <c:val>
            <c:numRef>
              <c:f>Agencias!$O$52:$O$62</c:f>
              <c:numCache/>
            </c:numRef>
          </c:val>
        </c:ser>
        <c:axId val="33844238"/>
        <c:axId val="36162687"/>
      </c:barChart>
      <c:catAx>
        <c:axId val="3384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2687"/>
        <c:crosses val="autoZero"/>
        <c:auto val="1"/>
        <c:lblOffset val="100"/>
        <c:tickLblSkip val="1"/>
        <c:noMultiLvlLbl val="0"/>
      </c:catAx>
      <c:valAx>
        <c:axId val="361626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44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0.0375</cdr:x>
      <cdr:y>0.08425</cdr:y>
    </cdr:from>
    <cdr:to>
      <cdr:x>0.2845</cdr:x>
      <cdr:y>0.14125</cdr:y>
    </cdr:to>
    <cdr:sp>
      <cdr:nvSpPr>
        <cdr:cNvPr id="1" name="Text Box 2"/>
        <cdr:cNvSpPr txBox="1">
          <a:spLocks noChangeArrowheads="1"/>
        </cdr:cNvSpPr>
      </cdr:nvSpPr>
      <cdr:spPr>
        <a:xfrm>
          <a:off x="161925" y="238125"/>
          <a:ext cx="1123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144</xdr:row>
      <xdr:rowOff>47625</xdr:rowOff>
    </xdr:from>
    <xdr:to>
      <xdr:col>6</xdr:col>
      <xdr:colOff>247650</xdr:colOff>
      <xdr:row>161</xdr:row>
      <xdr:rowOff>104775</xdr:rowOff>
    </xdr:to>
    <xdr:graphicFrame>
      <xdr:nvGraphicFramePr>
        <xdr:cNvPr id="1" name="Gráfico 15"/>
        <xdr:cNvGraphicFramePr/>
      </xdr:nvGraphicFramePr>
      <xdr:xfrm>
        <a:off x="9525" y="24088725"/>
        <a:ext cx="4552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125</xdr:row>
      <xdr:rowOff>9525</xdr:rowOff>
    </xdr:from>
    <xdr:ext cx="4410075" cy="2876550"/>
    <xdr:graphicFrame>
      <xdr:nvGraphicFramePr>
        <xdr:cNvPr id="2" name="Gráfico 8"/>
        <xdr:cNvGraphicFramePr/>
      </xdr:nvGraphicFramePr>
      <xdr:xfrm>
        <a:off x="0" y="20974050"/>
        <a:ext cx="44100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6</xdr:col>
      <xdr:colOff>381000</xdr:colOff>
      <xdr:row>124</xdr:row>
      <xdr:rowOff>133350</xdr:rowOff>
    </xdr:from>
    <xdr:to>
      <xdr:col>14</xdr:col>
      <xdr:colOff>314325</xdr:colOff>
      <xdr:row>142</xdr:row>
      <xdr:rowOff>95250</xdr:rowOff>
    </xdr:to>
    <xdr:graphicFrame>
      <xdr:nvGraphicFramePr>
        <xdr:cNvPr id="3" name="Gráfico 14"/>
        <xdr:cNvGraphicFramePr/>
      </xdr:nvGraphicFramePr>
      <xdr:xfrm>
        <a:off x="4695825" y="20935950"/>
        <a:ext cx="501967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6</xdr:col>
      <xdr:colOff>238125</xdr:colOff>
      <xdr:row>180</xdr:row>
      <xdr:rowOff>104775</xdr:rowOff>
    </xdr:to>
    <xdr:graphicFrame>
      <xdr:nvGraphicFramePr>
        <xdr:cNvPr id="4" name="Gráfico 17"/>
        <xdr:cNvGraphicFramePr/>
      </xdr:nvGraphicFramePr>
      <xdr:xfrm>
        <a:off x="0" y="27117675"/>
        <a:ext cx="45529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28575</xdr:colOff>
      <xdr:row>65</xdr:row>
      <xdr:rowOff>47625</xdr:rowOff>
    </xdr:from>
    <xdr:to>
      <xdr:col>12</xdr:col>
      <xdr:colOff>161925</xdr:colOff>
      <xdr:row>68</xdr:row>
      <xdr:rowOff>123825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6953250" y="11610975"/>
          <a:ext cx="13716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Mejor que la media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Peor que  la media</a:t>
          </a:r>
        </a:p>
      </xdr:txBody>
    </xdr:sp>
    <xdr:clientData/>
  </xdr:twoCellAnchor>
  <xdr:twoCellAnchor>
    <xdr:from>
      <xdr:col>10</xdr:col>
      <xdr:colOff>152400</xdr:colOff>
      <xdr:row>66</xdr:row>
      <xdr:rowOff>19050</xdr:rowOff>
    </xdr:from>
    <xdr:to>
      <xdr:col>10</xdr:col>
      <xdr:colOff>361950</xdr:colOff>
      <xdr:row>66</xdr:row>
      <xdr:rowOff>152400</xdr:rowOff>
    </xdr:to>
    <xdr:sp>
      <xdr:nvSpPr>
        <xdr:cNvPr id="6" name="Rectangle 24"/>
        <xdr:cNvSpPr>
          <a:spLocks/>
        </xdr:cNvSpPr>
      </xdr:nvSpPr>
      <xdr:spPr>
        <a:xfrm>
          <a:off x="7077075" y="11763375"/>
          <a:ext cx="209550" cy="133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67</xdr:row>
      <xdr:rowOff>85725</xdr:rowOff>
    </xdr:from>
    <xdr:to>
      <xdr:col>10</xdr:col>
      <xdr:colOff>361950</xdr:colOff>
      <xdr:row>68</xdr:row>
      <xdr:rowOff>47625</xdr:rowOff>
    </xdr:to>
    <xdr:sp>
      <xdr:nvSpPr>
        <xdr:cNvPr id="7" name="Rectangle 26"/>
        <xdr:cNvSpPr>
          <a:spLocks/>
        </xdr:cNvSpPr>
      </xdr:nvSpPr>
      <xdr:spPr>
        <a:xfrm>
          <a:off x="7086600" y="12001500"/>
          <a:ext cx="200025" cy="1333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6</xdr:col>
      <xdr:colOff>723900</xdr:colOff>
      <xdr:row>2</xdr:row>
      <xdr:rowOff>66675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38100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30</xdr:row>
      <xdr:rowOff>47625</xdr:rowOff>
    </xdr:from>
    <xdr:to>
      <xdr:col>4</xdr:col>
      <xdr:colOff>600075</xdr:colOff>
      <xdr:row>32</xdr:row>
      <xdr:rowOff>85725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6229350"/>
          <a:ext cx="3505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78</xdr:row>
      <xdr:rowOff>38100</xdr:rowOff>
    </xdr:from>
    <xdr:to>
      <xdr:col>6</xdr:col>
      <xdr:colOff>714375</xdr:colOff>
      <xdr:row>81</xdr:row>
      <xdr:rowOff>28575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13849350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116</xdr:row>
      <xdr:rowOff>85725</xdr:rowOff>
    </xdr:from>
    <xdr:to>
      <xdr:col>6</xdr:col>
      <xdr:colOff>723900</xdr:colOff>
      <xdr:row>119</xdr:row>
      <xdr:rowOff>19050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9592925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523875</xdr:colOff>
      <xdr:row>144</xdr:row>
      <xdr:rowOff>0</xdr:rowOff>
    </xdr:from>
    <xdr:to>
      <xdr:col>14</xdr:col>
      <xdr:colOff>428625</xdr:colOff>
      <xdr:row>161</xdr:row>
      <xdr:rowOff>114300</xdr:rowOff>
    </xdr:to>
    <xdr:graphicFrame>
      <xdr:nvGraphicFramePr>
        <xdr:cNvPr id="12" name="Gráfico 14"/>
        <xdr:cNvGraphicFramePr/>
      </xdr:nvGraphicFramePr>
      <xdr:xfrm>
        <a:off x="4838700" y="24041100"/>
        <a:ext cx="4991100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view="pageLayout" zoomScaleSheetLayoutView="100" workbookViewId="0" topLeftCell="A93">
      <selection activeCell="N166" sqref="N166:P166"/>
    </sheetView>
  </sheetViews>
  <sheetFormatPr defaultColWidth="11.421875" defaultRowHeight="12.75"/>
  <cols>
    <col min="1" max="2" width="12.7109375" style="0" customWidth="1"/>
    <col min="3" max="5" width="9.28125" style="0" customWidth="1"/>
    <col min="6" max="7" width="11.421875" style="0" customWidth="1"/>
    <col min="8" max="9" width="9.28125" style="0" customWidth="1"/>
    <col min="10" max="10" width="9.140625" style="0" bestFit="1" customWidth="1"/>
    <col min="11" max="15" width="9.281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7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Q6" s="11" t="s">
        <v>32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20.25">
      <c r="A14" s="78" t="s">
        <v>11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1:15" ht="20.25">
      <c r="A15" s="78" t="s">
        <v>33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2" ht="15">
      <c r="A32" s="12"/>
    </row>
    <row r="34" ht="12.75">
      <c r="D34" s="18" t="s">
        <v>12</v>
      </c>
    </row>
    <row r="35" ht="12.75">
      <c r="D35" s="19" t="s">
        <v>33</v>
      </c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1:13" ht="18" customHeight="1">
      <c r="A37" s="34" t="s">
        <v>17</v>
      </c>
      <c r="B37" s="35">
        <v>42370</v>
      </c>
      <c r="C37" s="35">
        <v>42401</v>
      </c>
      <c r="D37" s="35">
        <v>42430</v>
      </c>
      <c r="E37" s="35">
        <v>42461</v>
      </c>
      <c r="F37" s="35">
        <v>42491</v>
      </c>
      <c r="G37" s="35">
        <v>42522</v>
      </c>
      <c r="H37" s="35">
        <v>42552</v>
      </c>
      <c r="I37" s="35">
        <v>42583</v>
      </c>
      <c r="J37" s="35">
        <v>42614</v>
      </c>
      <c r="K37" s="35">
        <v>42644</v>
      </c>
      <c r="L37" s="35">
        <v>42675</v>
      </c>
      <c r="M37" s="35">
        <v>42705</v>
      </c>
    </row>
    <row r="38" spans="1:13" ht="11.25" customHeight="1">
      <c r="A38" s="20" t="s">
        <v>0</v>
      </c>
      <c r="B38" s="31">
        <v>1121</v>
      </c>
      <c r="C38" s="31">
        <v>1118</v>
      </c>
      <c r="D38" s="31">
        <v>1084</v>
      </c>
      <c r="E38" s="31">
        <v>1056</v>
      </c>
      <c r="F38" s="38">
        <v>1029</v>
      </c>
      <c r="G38" s="31">
        <v>933</v>
      </c>
      <c r="H38" s="38">
        <v>930</v>
      </c>
      <c r="I38" s="38">
        <v>977</v>
      </c>
      <c r="J38" s="33">
        <v>961</v>
      </c>
      <c r="K38" s="40">
        <v>949</v>
      </c>
      <c r="L38" s="41">
        <v>954</v>
      </c>
      <c r="M38" s="38">
        <v>998</v>
      </c>
    </row>
    <row r="39" spans="1:13" ht="11.25" customHeight="1">
      <c r="A39" s="21" t="s">
        <v>1</v>
      </c>
      <c r="B39" s="31">
        <v>957</v>
      </c>
      <c r="C39" s="31">
        <v>930</v>
      </c>
      <c r="D39" s="31">
        <v>908</v>
      </c>
      <c r="E39" s="31">
        <v>942</v>
      </c>
      <c r="F39" s="38">
        <v>878</v>
      </c>
      <c r="G39" s="31">
        <v>792</v>
      </c>
      <c r="H39" s="38">
        <v>766</v>
      </c>
      <c r="I39" s="38">
        <v>715</v>
      </c>
      <c r="J39" s="33">
        <v>765</v>
      </c>
      <c r="K39" s="40">
        <v>763</v>
      </c>
      <c r="L39" s="41">
        <v>822</v>
      </c>
      <c r="M39" s="38">
        <v>847</v>
      </c>
    </row>
    <row r="40" spans="1:16" s="2" customFormat="1" ht="11.25" customHeight="1">
      <c r="A40" s="22" t="s">
        <v>2</v>
      </c>
      <c r="B40" s="39">
        <v>26541</v>
      </c>
      <c r="C40" s="39">
        <v>26529</v>
      </c>
      <c r="D40" s="39">
        <v>25919</v>
      </c>
      <c r="E40" s="39">
        <v>25359</v>
      </c>
      <c r="F40" s="39">
        <v>24609</v>
      </c>
      <c r="G40" s="39">
        <v>23756</v>
      </c>
      <c r="H40" s="39">
        <v>23887</v>
      </c>
      <c r="I40" s="39">
        <v>23613</v>
      </c>
      <c r="J40" s="39">
        <v>24145</v>
      </c>
      <c r="K40" s="39">
        <v>23363</v>
      </c>
      <c r="L40" s="39">
        <v>23155</v>
      </c>
      <c r="M40" s="39">
        <v>23591</v>
      </c>
      <c r="N40" s="3"/>
      <c r="O40" s="3"/>
      <c r="P40" s="3"/>
    </row>
    <row r="41" spans="1:13" ht="11.25" customHeight="1">
      <c r="A41" s="23" t="s">
        <v>8</v>
      </c>
      <c r="B41" s="38">
        <v>11168</v>
      </c>
      <c r="C41" s="38">
        <v>11085</v>
      </c>
      <c r="D41" s="38">
        <v>10813</v>
      </c>
      <c r="E41" s="38">
        <v>10599</v>
      </c>
      <c r="F41" s="38">
        <v>10302</v>
      </c>
      <c r="G41" s="38">
        <v>9870</v>
      </c>
      <c r="H41" s="38">
        <v>9915</v>
      </c>
      <c r="I41" s="38">
        <v>9866</v>
      </c>
      <c r="J41" s="33">
        <v>10078</v>
      </c>
      <c r="K41" s="40">
        <v>9707</v>
      </c>
      <c r="L41" s="33">
        <v>9727</v>
      </c>
      <c r="M41" s="38">
        <v>9864</v>
      </c>
    </row>
    <row r="42" spans="1:13" ht="11.25" customHeight="1">
      <c r="A42" s="23" t="s">
        <v>9</v>
      </c>
      <c r="B42" s="38">
        <v>5747</v>
      </c>
      <c r="C42" s="38">
        <v>5810</v>
      </c>
      <c r="D42" s="38">
        <v>5666</v>
      </c>
      <c r="E42" s="38">
        <v>5507</v>
      </c>
      <c r="F42" s="38">
        <v>5345</v>
      </c>
      <c r="G42" s="38">
        <v>5138</v>
      </c>
      <c r="H42" s="38">
        <v>5183</v>
      </c>
      <c r="I42" s="38">
        <v>5141</v>
      </c>
      <c r="J42" s="33">
        <v>5238</v>
      </c>
      <c r="K42" s="40">
        <v>5067</v>
      </c>
      <c r="L42" s="33">
        <v>4927</v>
      </c>
      <c r="M42" s="38">
        <v>5044</v>
      </c>
    </row>
    <row r="43" spans="1:13" ht="11.25" customHeight="1">
      <c r="A43" s="23" t="s">
        <v>10</v>
      </c>
      <c r="B43" s="38">
        <v>9626</v>
      </c>
      <c r="C43" s="38">
        <v>9634</v>
      </c>
      <c r="D43" s="38">
        <v>9440</v>
      </c>
      <c r="E43" s="38">
        <v>9253</v>
      </c>
      <c r="F43" s="38">
        <v>8962</v>
      </c>
      <c r="G43" s="38">
        <v>8748</v>
      </c>
      <c r="H43" s="38">
        <v>8789</v>
      </c>
      <c r="I43" s="38">
        <v>8606</v>
      </c>
      <c r="J43" s="33">
        <v>8829</v>
      </c>
      <c r="K43" s="40">
        <v>8589</v>
      </c>
      <c r="L43" s="33">
        <v>8501</v>
      </c>
      <c r="M43" s="38">
        <v>8683</v>
      </c>
    </row>
    <row r="44" spans="1:13" ht="11.25" customHeight="1">
      <c r="A44" s="21" t="s">
        <v>3</v>
      </c>
      <c r="B44" s="38">
        <v>8138</v>
      </c>
      <c r="C44" s="38">
        <v>8217</v>
      </c>
      <c r="D44" s="38">
        <v>8162</v>
      </c>
      <c r="E44" s="38">
        <v>7846</v>
      </c>
      <c r="F44" s="38">
        <v>7379</v>
      </c>
      <c r="G44" s="38">
        <v>7207</v>
      </c>
      <c r="H44" s="38">
        <v>7037</v>
      </c>
      <c r="I44" s="38">
        <v>6754</v>
      </c>
      <c r="J44" s="33">
        <v>6724</v>
      </c>
      <c r="K44" s="40">
        <v>6904</v>
      </c>
      <c r="L44" s="33">
        <v>6993</v>
      </c>
      <c r="M44" s="38">
        <v>7248</v>
      </c>
    </row>
    <row r="45" spans="1:13" ht="11.25" customHeight="1">
      <c r="A45" s="21" t="s">
        <v>4</v>
      </c>
      <c r="B45" s="38">
        <v>1099</v>
      </c>
      <c r="C45" s="38">
        <v>1088</v>
      </c>
      <c r="D45" s="38">
        <v>969</v>
      </c>
      <c r="E45" s="38">
        <v>977</v>
      </c>
      <c r="F45" s="38">
        <v>920</v>
      </c>
      <c r="G45" s="38">
        <v>893</v>
      </c>
      <c r="H45" s="38">
        <v>894</v>
      </c>
      <c r="I45" s="38">
        <v>905</v>
      </c>
      <c r="J45" s="33">
        <v>894</v>
      </c>
      <c r="K45" s="40">
        <v>860</v>
      </c>
      <c r="L45" s="33">
        <v>892</v>
      </c>
      <c r="M45" s="38">
        <v>897</v>
      </c>
    </row>
    <row r="46" spans="1:13" ht="11.25" customHeight="1">
      <c r="A46" s="21" t="s">
        <v>5</v>
      </c>
      <c r="B46" s="38">
        <v>1701</v>
      </c>
      <c r="C46" s="38">
        <v>1718</v>
      </c>
      <c r="D46" s="38">
        <v>1695</v>
      </c>
      <c r="E46" s="38">
        <v>1531</v>
      </c>
      <c r="F46" s="38">
        <v>1390</v>
      </c>
      <c r="G46" s="38">
        <v>1371</v>
      </c>
      <c r="H46" s="38">
        <v>1475</v>
      </c>
      <c r="I46" s="38">
        <v>1389</v>
      </c>
      <c r="J46" s="33">
        <v>1242</v>
      </c>
      <c r="K46" s="40">
        <v>1311</v>
      </c>
      <c r="L46" s="33">
        <v>1378</v>
      </c>
      <c r="M46" s="38">
        <v>1513</v>
      </c>
    </row>
    <row r="47" spans="1:13" ht="11.25" customHeight="1">
      <c r="A47" s="21" t="s">
        <v>6</v>
      </c>
      <c r="B47" s="38">
        <v>2633</v>
      </c>
      <c r="C47" s="38">
        <v>2638</v>
      </c>
      <c r="D47" s="38">
        <v>2559</v>
      </c>
      <c r="E47" s="38">
        <v>2464</v>
      </c>
      <c r="F47" s="38">
        <v>2365</v>
      </c>
      <c r="G47" s="38">
        <v>2236</v>
      </c>
      <c r="H47" s="38">
        <v>2222</v>
      </c>
      <c r="I47" s="38">
        <v>2214</v>
      </c>
      <c r="J47" s="33">
        <v>2230</v>
      </c>
      <c r="K47" s="40">
        <v>2194</v>
      </c>
      <c r="L47" s="33">
        <v>2251</v>
      </c>
      <c r="M47" s="38">
        <v>2341</v>
      </c>
    </row>
    <row r="48" spans="1:13" ht="11.25" customHeight="1">
      <c r="A48" s="21" t="s">
        <v>7</v>
      </c>
      <c r="B48" s="31">
        <v>2923</v>
      </c>
      <c r="C48" s="31">
        <v>2858</v>
      </c>
      <c r="D48" s="31">
        <v>2823</v>
      </c>
      <c r="E48" s="31">
        <v>2704</v>
      </c>
      <c r="F48" s="38">
        <v>2605</v>
      </c>
      <c r="G48" s="31">
        <v>2470</v>
      </c>
      <c r="H48" s="38">
        <v>2395</v>
      </c>
      <c r="I48" s="38">
        <v>2332</v>
      </c>
      <c r="J48" s="33">
        <v>2321</v>
      </c>
      <c r="K48" s="40">
        <v>2352</v>
      </c>
      <c r="L48" s="41">
        <v>2471</v>
      </c>
      <c r="M48" s="38">
        <v>2610</v>
      </c>
    </row>
    <row r="49" spans="1:13" ht="11.25" customHeight="1">
      <c r="A49" s="24" t="s">
        <v>13</v>
      </c>
      <c r="B49" s="32">
        <v>45113</v>
      </c>
      <c r="C49" s="32">
        <v>45096</v>
      </c>
      <c r="D49" s="32">
        <v>44119</v>
      </c>
      <c r="E49" s="32">
        <v>42879</v>
      </c>
      <c r="F49" s="32">
        <v>41175</v>
      </c>
      <c r="G49" s="32">
        <v>39658</v>
      </c>
      <c r="H49" s="32">
        <v>39606</v>
      </c>
      <c r="I49" s="32">
        <v>38899</v>
      </c>
      <c r="J49" s="32">
        <v>39282</v>
      </c>
      <c r="K49" s="32">
        <v>38696</v>
      </c>
      <c r="L49" s="32">
        <v>38916</v>
      </c>
      <c r="M49" s="32">
        <v>40045</v>
      </c>
    </row>
    <row r="50" spans="1:13" ht="8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7" ht="19.5" customHeight="1">
      <c r="A51" s="34" t="s">
        <v>17</v>
      </c>
      <c r="B51" s="35">
        <v>42736</v>
      </c>
      <c r="C51" s="35">
        <v>42767</v>
      </c>
      <c r="D51" s="35">
        <v>42795</v>
      </c>
      <c r="E51" s="35">
        <v>42826</v>
      </c>
      <c r="F51" s="35">
        <v>42856</v>
      </c>
      <c r="G51" s="35">
        <v>42887</v>
      </c>
      <c r="H51" s="35">
        <v>42917</v>
      </c>
      <c r="I51" s="35">
        <v>42948</v>
      </c>
      <c r="J51" s="35">
        <v>42979</v>
      </c>
      <c r="K51" s="35">
        <v>43009</v>
      </c>
      <c r="L51" s="35">
        <v>43040</v>
      </c>
      <c r="M51" s="35">
        <v>43070</v>
      </c>
      <c r="N51" s="36" t="s">
        <v>29</v>
      </c>
      <c r="O51" s="37" t="s">
        <v>27</v>
      </c>
      <c r="P51" s="36" t="s">
        <v>30</v>
      </c>
      <c r="Q51" s="37" t="s">
        <v>26</v>
      </c>
    </row>
    <row r="52" spans="1:17" ht="11.25" customHeight="1">
      <c r="A52" s="20" t="s">
        <v>0</v>
      </c>
      <c r="B52" s="31">
        <v>1005</v>
      </c>
      <c r="C52" s="31">
        <v>961</v>
      </c>
      <c r="D52" s="31">
        <v>979</v>
      </c>
      <c r="E52" s="31">
        <v>937</v>
      </c>
      <c r="F52" s="38">
        <v>885</v>
      </c>
      <c r="G52" s="31">
        <v>820</v>
      </c>
      <c r="H52" s="38">
        <v>862</v>
      </c>
      <c r="I52" s="75">
        <v>955</v>
      </c>
      <c r="J52" s="38"/>
      <c r="K52" s="40"/>
      <c r="L52" s="41"/>
      <c r="M52" s="38"/>
      <c r="N52" s="42">
        <f>I52-H52</f>
        <v>93</v>
      </c>
      <c r="O52" s="52">
        <f>N52/H52</f>
        <v>0.10788863109048724</v>
      </c>
      <c r="P52" s="42">
        <f>I52-I38</f>
        <v>-22</v>
      </c>
      <c r="Q52" s="52">
        <f>P52/I38</f>
        <v>-0.022517911975435005</v>
      </c>
    </row>
    <row r="53" spans="1:17" ht="11.25" customHeight="1">
      <c r="A53" s="21" t="s">
        <v>1</v>
      </c>
      <c r="B53" s="31">
        <v>937</v>
      </c>
      <c r="C53" s="31">
        <v>896</v>
      </c>
      <c r="D53" s="31">
        <v>838</v>
      </c>
      <c r="E53" s="31">
        <v>794</v>
      </c>
      <c r="F53" s="38">
        <v>733</v>
      </c>
      <c r="G53" s="31">
        <v>673</v>
      </c>
      <c r="H53" s="38">
        <v>663</v>
      </c>
      <c r="I53" s="75">
        <v>698</v>
      </c>
      <c r="J53" s="38"/>
      <c r="K53" s="40"/>
      <c r="L53" s="41"/>
      <c r="M53" s="38"/>
      <c r="N53" s="42">
        <f aca="true" t="shared" si="0" ref="N53:N62">I53-H53</f>
        <v>35</v>
      </c>
      <c r="O53" s="52">
        <f aca="true" t="shared" si="1" ref="O53:O62">N53/H53</f>
        <v>0.05279034690799397</v>
      </c>
      <c r="P53" s="42">
        <f aca="true" t="shared" si="2" ref="P53:P62">I53-I39</f>
        <v>-17</v>
      </c>
      <c r="Q53" s="52">
        <f aca="true" t="shared" si="3" ref="Q53:Q62">P53/I39</f>
        <v>-0.023776223776223775</v>
      </c>
    </row>
    <row r="54" spans="1:17" s="43" customFormat="1" ht="11.25" customHeight="1">
      <c r="A54" s="45" t="s">
        <v>2</v>
      </c>
      <c r="B54" s="39">
        <v>24476</v>
      </c>
      <c r="C54" s="39">
        <v>24172</v>
      </c>
      <c r="D54" s="39">
        <v>23900</v>
      </c>
      <c r="E54" s="39">
        <v>23107</v>
      </c>
      <c r="F54" s="39">
        <v>22295</v>
      </c>
      <c r="G54" s="39">
        <v>21757</v>
      </c>
      <c r="H54" s="39">
        <v>22155</v>
      </c>
      <c r="I54" s="76">
        <v>22209</v>
      </c>
      <c r="J54" s="39"/>
      <c r="K54" s="39"/>
      <c r="L54" s="39"/>
      <c r="M54" s="39"/>
      <c r="N54" s="42">
        <f t="shared" si="0"/>
        <v>54</v>
      </c>
      <c r="O54" s="52">
        <f t="shared" si="1"/>
        <v>0.0024373730534867975</v>
      </c>
      <c r="P54" s="42">
        <f t="shared" si="2"/>
        <v>-1404</v>
      </c>
      <c r="Q54" s="52">
        <f t="shared" si="3"/>
        <v>-0.05945877270994791</v>
      </c>
    </row>
    <row r="55" spans="1:17" s="30" customFormat="1" ht="11.25" customHeight="1">
      <c r="A55" s="46" t="s">
        <v>8</v>
      </c>
      <c r="B55" s="38">
        <v>10215</v>
      </c>
      <c r="C55" s="38">
        <v>10034</v>
      </c>
      <c r="D55" s="38">
        <v>9975</v>
      </c>
      <c r="E55" s="38">
        <v>9644</v>
      </c>
      <c r="F55" s="38">
        <v>9287</v>
      </c>
      <c r="G55" s="38">
        <v>9152</v>
      </c>
      <c r="H55" s="38">
        <v>9284</v>
      </c>
      <c r="I55" s="75">
        <v>9342</v>
      </c>
      <c r="J55" s="38"/>
      <c r="K55" s="40"/>
      <c r="L55" s="33"/>
      <c r="M55" s="38"/>
      <c r="N55" s="42">
        <f t="shared" si="0"/>
        <v>58</v>
      </c>
      <c r="O55" s="52">
        <f t="shared" si="1"/>
        <v>0.0062473071951744934</v>
      </c>
      <c r="P55" s="42">
        <f t="shared" si="2"/>
        <v>-524</v>
      </c>
      <c r="Q55" s="52">
        <f t="shared" si="3"/>
        <v>-0.053111696736265965</v>
      </c>
    </row>
    <row r="56" spans="1:17" s="30" customFormat="1" ht="11.25" customHeight="1">
      <c r="A56" s="46" t="s">
        <v>9</v>
      </c>
      <c r="B56" s="38">
        <v>5231</v>
      </c>
      <c r="C56" s="38">
        <v>5226</v>
      </c>
      <c r="D56" s="38">
        <v>5112</v>
      </c>
      <c r="E56" s="38">
        <v>4967</v>
      </c>
      <c r="F56" s="38">
        <v>4764</v>
      </c>
      <c r="G56" s="38">
        <v>4570</v>
      </c>
      <c r="H56" s="38">
        <v>4748</v>
      </c>
      <c r="I56" s="75">
        <v>4814</v>
      </c>
      <c r="J56" s="38"/>
      <c r="K56" s="40"/>
      <c r="L56" s="33"/>
      <c r="M56" s="38"/>
      <c r="N56" s="42">
        <f t="shared" si="0"/>
        <v>66</v>
      </c>
      <c r="O56" s="52">
        <f t="shared" si="1"/>
        <v>0.013900589721988205</v>
      </c>
      <c r="P56" s="42">
        <f t="shared" si="2"/>
        <v>-327</v>
      </c>
      <c r="Q56" s="52">
        <f t="shared" si="3"/>
        <v>-0.06360630227582183</v>
      </c>
    </row>
    <row r="57" spans="1:17" s="30" customFormat="1" ht="11.25" customHeight="1">
      <c r="A57" s="46" t="s">
        <v>10</v>
      </c>
      <c r="B57" s="38">
        <v>9030</v>
      </c>
      <c r="C57" s="38">
        <v>8912</v>
      </c>
      <c r="D57" s="38">
        <v>8813</v>
      </c>
      <c r="E57" s="38">
        <v>8496</v>
      </c>
      <c r="F57" s="38">
        <v>8244</v>
      </c>
      <c r="G57" s="38">
        <v>8035</v>
      </c>
      <c r="H57" s="38">
        <v>8123</v>
      </c>
      <c r="I57" s="75">
        <v>8053</v>
      </c>
      <c r="J57" s="38"/>
      <c r="K57" s="40"/>
      <c r="L57" s="33"/>
      <c r="M57" s="38"/>
      <c r="N57" s="42">
        <f t="shared" si="0"/>
        <v>-70</v>
      </c>
      <c r="O57" s="52">
        <f t="shared" si="1"/>
        <v>-0.008617505847593254</v>
      </c>
      <c r="P57" s="42">
        <f t="shared" si="2"/>
        <v>-553</v>
      </c>
      <c r="Q57" s="52">
        <f t="shared" si="3"/>
        <v>-0.06425749477108994</v>
      </c>
    </row>
    <row r="58" spans="1:17" s="30" customFormat="1" ht="11.25" customHeight="1">
      <c r="A58" s="47" t="s">
        <v>3</v>
      </c>
      <c r="B58" s="38">
        <v>7236</v>
      </c>
      <c r="C58" s="38">
        <v>7155</v>
      </c>
      <c r="D58" s="38">
        <v>7268</v>
      </c>
      <c r="E58" s="38">
        <v>6747</v>
      </c>
      <c r="F58" s="38">
        <v>6400</v>
      </c>
      <c r="G58" s="38">
        <v>6227</v>
      </c>
      <c r="H58" s="38">
        <v>6103</v>
      </c>
      <c r="I58" s="75">
        <v>5916</v>
      </c>
      <c r="J58" s="38"/>
      <c r="K58" s="40"/>
      <c r="L58" s="33"/>
      <c r="M58" s="38"/>
      <c r="N58" s="42">
        <f t="shared" si="0"/>
        <v>-187</v>
      </c>
      <c r="O58" s="52">
        <f t="shared" si="1"/>
        <v>-0.03064066852367688</v>
      </c>
      <c r="P58" s="42">
        <f t="shared" si="2"/>
        <v>-838</v>
      </c>
      <c r="Q58" s="52">
        <f t="shared" si="3"/>
        <v>-0.12407462244595795</v>
      </c>
    </row>
    <row r="59" spans="1:17" s="30" customFormat="1" ht="11.25" customHeight="1">
      <c r="A59" s="47" t="s">
        <v>4</v>
      </c>
      <c r="B59" s="38">
        <v>970</v>
      </c>
      <c r="C59" s="38">
        <v>949</v>
      </c>
      <c r="D59" s="38">
        <v>916</v>
      </c>
      <c r="E59" s="38">
        <v>892</v>
      </c>
      <c r="F59" s="38">
        <v>813</v>
      </c>
      <c r="G59" s="38">
        <v>766</v>
      </c>
      <c r="H59" s="38">
        <v>800</v>
      </c>
      <c r="I59" s="75">
        <v>807</v>
      </c>
      <c r="J59" s="38"/>
      <c r="K59" s="40"/>
      <c r="L59" s="33"/>
      <c r="M59" s="38"/>
      <c r="N59" s="42">
        <f t="shared" si="0"/>
        <v>7</v>
      </c>
      <c r="O59" s="52">
        <f t="shared" si="1"/>
        <v>0.00875</v>
      </c>
      <c r="P59" s="42">
        <f t="shared" si="2"/>
        <v>-98</v>
      </c>
      <c r="Q59" s="52">
        <f t="shared" si="3"/>
        <v>-0.10828729281767956</v>
      </c>
    </row>
    <row r="60" spans="1:17" s="30" customFormat="1" ht="11.25" customHeight="1">
      <c r="A60" s="47" t="s">
        <v>5</v>
      </c>
      <c r="B60" s="38">
        <v>1583</v>
      </c>
      <c r="C60" s="38">
        <v>1588</v>
      </c>
      <c r="D60" s="38">
        <v>1597</v>
      </c>
      <c r="E60" s="38">
        <v>1340</v>
      </c>
      <c r="F60" s="38">
        <v>1290</v>
      </c>
      <c r="G60" s="38">
        <v>1466</v>
      </c>
      <c r="H60" s="38">
        <v>1433</v>
      </c>
      <c r="I60" s="75">
        <v>1313</v>
      </c>
      <c r="J60" s="38"/>
      <c r="K60" s="40"/>
      <c r="L60" s="33"/>
      <c r="M60" s="38"/>
      <c r="N60" s="42">
        <f t="shared" si="0"/>
        <v>-120</v>
      </c>
      <c r="O60" s="52">
        <f t="shared" si="1"/>
        <v>-0.0837404047452896</v>
      </c>
      <c r="P60" s="42">
        <f t="shared" si="2"/>
        <v>-76</v>
      </c>
      <c r="Q60" s="52">
        <f t="shared" si="3"/>
        <v>-0.054715622750179986</v>
      </c>
    </row>
    <row r="61" spans="1:17" s="30" customFormat="1" ht="11.25" customHeight="1">
      <c r="A61" s="47" t="s">
        <v>6</v>
      </c>
      <c r="B61" s="38">
        <v>2396</v>
      </c>
      <c r="C61" s="38">
        <v>2355</v>
      </c>
      <c r="D61" s="38">
        <v>2298</v>
      </c>
      <c r="E61" s="38">
        <v>2189</v>
      </c>
      <c r="F61" s="38">
        <v>2057</v>
      </c>
      <c r="G61" s="38">
        <v>1992</v>
      </c>
      <c r="H61" s="38">
        <v>1981</v>
      </c>
      <c r="I61" s="75">
        <v>1957</v>
      </c>
      <c r="J61" s="38"/>
      <c r="K61" s="40"/>
      <c r="L61" s="33"/>
      <c r="M61" s="38"/>
      <c r="N61" s="42">
        <f t="shared" si="0"/>
        <v>-24</v>
      </c>
      <c r="O61" s="52">
        <f t="shared" si="1"/>
        <v>-0.012115093387178193</v>
      </c>
      <c r="P61" s="42">
        <f t="shared" si="2"/>
        <v>-257</v>
      </c>
      <c r="Q61" s="52">
        <f t="shared" si="3"/>
        <v>-0.11607949412827462</v>
      </c>
    </row>
    <row r="62" spans="1:17" ht="11.25" customHeight="1">
      <c r="A62" s="21" t="s">
        <v>7</v>
      </c>
      <c r="B62" s="31">
        <v>2639</v>
      </c>
      <c r="C62" s="31">
        <v>2644</v>
      </c>
      <c r="D62" s="31">
        <v>2557</v>
      </c>
      <c r="E62" s="31">
        <v>2369</v>
      </c>
      <c r="F62" s="38">
        <v>2300</v>
      </c>
      <c r="G62" s="31">
        <v>2237</v>
      </c>
      <c r="H62" s="38">
        <v>2136</v>
      </c>
      <c r="I62" s="75">
        <v>2096</v>
      </c>
      <c r="J62" s="38"/>
      <c r="K62" s="40"/>
      <c r="L62" s="41"/>
      <c r="M62" s="38"/>
      <c r="N62" s="42">
        <f t="shared" si="0"/>
        <v>-40</v>
      </c>
      <c r="O62" s="52">
        <f t="shared" si="1"/>
        <v>-0.018726591760299626</v>
      </c>
      <c r="P62" s="42">
        <f t="shared" si="2"/>
        <v>-236</v>
      </c>
      <c r="Q62" s="52">
        <f t="shared" si="3"/>
        <v>-0.10120068610634649</v>
      </c>
    </row>
    <row r="63" spans="1:18" ht="12.75">
      <c r="A63" s="24" t="s">
        <v>13</v>
      </c>
      <c r="B63" s="32">
        <v>41242</v>
      </c>
      <c r="C63" s="32">
        <v>40720</v>
      </c>
      <c r="D63" s="32">
        <f>SUM(D52:D53,D55:D62)</f>
        <v>40353</v>
      </c>
      <c r="E63" s="32">
        <v>38375</v>
      </c>
      <c r="F63" s="32">
        <v>36773</v>
      </c>
      <c r="G63" s="32">
        <v>35938</v>
      </c>
      <c r="H63" s="32">
        <v>36133</v>
      </c>
      <c r="I63" s="77">
        <v>35951</v>
      </c>
      <c r="J63" s="32"/>
      <c r="K63" s="32"/>
      <c r="L63" s="32"/>
      <c r="M63" s="32"/>
      <c r="N63" s="32">
        <f>I63-H63</f>
        <v>-182</v>
      </c>
      <c r="O63" s="54">
        <f>N63/H63</f>
        <v>-0.005036946835302909</v>
      </c>
      <c r="P63" s="32">
        <f>I63-I49</f>
        <v>-2948</v>
      </c>
      <c r="Q63" s="54">
        <f>P63/I49</f>
        <v>-0.07578600992313426</v>
      </c>
      <c r="R63" s="44"/>
    </row>
    <row r="64" ht="11.25" customHeight="1" thickBot="1"/>
    <row r="65" spans="1:8" ht="14.25" thickBot="1" thickTop="1">
      <c r="A65" s="49"/>
      <c r="B65" s="79" t="s">
        <v>22</v>
      </c>
      <c r="C65" s="80"/>
      <c r="D65" s="80"/>
      <c r="E65" s="50"/>
      <c r="F65" s="79" t="s">
        <v>21</v>
      </c>
      <c r="G65" s="80"/>
      <c r="H65" s="80"/>
    </row>
    <row r="66" spans="2:8" ht="14.25" thickBot="1" thickTop="1">
      <c r="B66" s="59" t="s">
        <v>18</v>
      </c>
      <c r="C66" s="58" t="s">
        <v>23</v>
      </c>
      <c r="D66" s="58" t="s">
        <v>24</v>
      </c>
      <c r="F66" s="59" t="s">
        <v>18</v>
      </c>
      <c r="G66" s="58" t="s">
        <v>23</v>
      </c>
      <c r="H66" s="58" t="s">
        <v>24</v>
      </c>
    </row>
    <row r="67" spans="2:20" ht="13.5" customHeight="1" thickBot="1" thickTop="1">
      <c r="B67" s="67" t="str">
        <f>VLOOKUP(1,Hoja1!$A$16:$D$26,2,FALSE)</f>
        <v>Lodosa</v>
      </c>
      <c r="C67" s="68">
        <f>VLOOKUP(1,Hoja1!$A$16:$D$26,4,FALSE)</f>
        <v>-0.0837404047452896</v>
      </c>
      <c r="D67" s="69">
        <f>VLOOKUP(1,Hoja1!$A$16:$D$26,3,FALSE)</f>
        <v>-120</v>
      </c>
      <c r="F67" s="72" t="str">
        <f>VLOOKUP(1,Hoja1!$A$2:$B$12,2,FALSE)</f>
        <v>Tudela</v>
      </c>
      <c r="G67" s="68">
        <f>VLOOKUP(F67,Hoja1!$B$2:$D$12,3,FALSE)</f>
        <v>-0.12407462244595795</v>
      </c>
      <c r="H67" s="53">
        <f>VLOOKUP(F67,Hoja1!$B$2:$D$12,2,FALSE)</f>
        <v>-838</v>
      </c>
      <c r="T67" s="50"/>
    </row>
    <row r="68" spans="2:20" ht="13.5" customHeight="1" thickBot="1" thickTop="1">
      <c r="B68" s="69" t="str">
        <f>VLOOKUP(2,Hoja1!$A$16:$D$26,2,FALSE)</f>
        <v>Tudela</v>
      </c>
      <c r="C68" s="70">
        <f>VLOOKUP(2,Hoja1!$A$16:$D$26,4,FALSE)</f>
        <v>-0.03064066852367688</v>
      </c>
      <c r="D68" s="72">
        <f>VLOOKUP(2,Hoja1!$A$16:$D$26,3,FALSE)</f>
        <v>-187</v>
      </c>
      <c r="F68" s="72" t="str">
        <f>VLOOKUP(2,Hoja1!$A$2:$B$12,2,FALSE)</f>
        <v>Estella</v>
      </c>
      <c r="G68" s="68">
        <f>VLOOKUP(F68,Hoja1!$B$2:$D$12,3,FALSE)</f>
        <v>-0.11607949412827462</v>
      </c>
      <c r="H68" s="53">
        <f>VLOOKUP(F68,Hoja1!$B$2:$D$12,2,FALSE)</f>
        <v>-257</v>
      </c>
      <c r="T68" s="50"/>
    </row>
    <row r="69" spans="2:20" ht="13.5" customHeight="1" thickBot="1" thickTop="1">
      <c r="B69" s="69" t="str">
        <f>VLOOKUP(3,Hoja1!$A$16:$D$26,2,FALSE)</f>
        <v>Tafalla</v>
      </c>
      <c r="C69" s="71">
        <f>VLOOKUP(3,Hoja1!$A$16:$D$26,4,FALSE)</f>
        <v>-0.018726591760299626</v>
      </c>
      <c r="D69" s="73">
        <f>VLOOKUP(3,Hoja1!$A$16:$D$26,3,FALSE)</f>
        <v>-40</v>
      </c>
      <c r="F69" s="72" t="str">
        <f>VLOOKUP(3,Hoja1!$A$2:$B$12,2,FALSE)</f>
        <v>Santesteban</v>
      </c>
      <c r="G69" s="68">
        <f>VLOOKUP(F69,Hoja1!$B$2:$D$12,3,FALSE)</f>
        <v>-0.10828729281767956</v>
      </c>
      <c r="H69" s="53">
        <f>VLOOKUP(F69,Hoja1!$B$2:$D$12,2,FALSE)</f>
        <v>-98</v>
      </c>
      <c r="T69" s="50"/>
    </row>
    <row r="70" spans="2:20" ht="13.5" customHeight="1" thickBot="1" thickTop="1">
      <c r="B70" s="69" t="str">
        <f>VLOOKUP(4,Hoja1!$A$16:$D$26,2,FALSE)</f>
        <v>Estella</v>
      </c>
      <c r="C70" s="68">
        <f>VLOOKUP(4,Hoja1!$A$16:$D$26,4,FALSE)</f>
        <v>-0.012115093387178193</v>
      </c>
      <c r="D70" s="72">
        <f>VLOOKUP(4,Hoja1!$A$16:$D$26,3,FALSE)</f>
        <v>-24</v>
      </c>
      <c r="F70" s="72" t="str">
        <f>VLOOKUP(4,Hoja1!$A$2:$B$12,2,FALSE)</f>
        <v>Tafalla</v>
      </c>
      <c r="G70" s="68">
        <f>VLOOKUP(F70,Hoja1!$B$2:$D$12,3,FALSE)</f>
        <v>-0.10120068610634649</v>
      </c>
      <c r="H70" s="53">
        <f>VLOOKUP(F70,Hoja1!$B$2:$D$12,2,FALSE)</f>
        <v>-236</v>
      </c>
      <c r="T70" s="50"/>
    </row>
    <row r="71" spans="2:20" ht="13.5" customHeight="1" thickBot="1" thickTop="1">
      <c r="B71" s="69" t="str">
        <f>VLOOKUP(5,Hoja1!$A$16:$D$26,2,FALSE)</f>
        <v>Rochapea</v>
      </c>
      <c r="C71" s="70">
        <f>VLOOKUP(5,Hoja1!$A$16:$D$26,4,FALSE)</f>
        <v>-0.008617505847593254</v>
      </c>
      <c r="D71" s="73">
        <f>VLOOKUP(5,Hoja1!$A$16:$D$26,3,FALSE)</f>
        <v>-70</v>
      </c>
      <c r="F71" s="72" t="str">
        <f>VLOOKUP(5,Hoja1!$A$2:$B$12,2,FALSE)</f>
        <v>Rochapea</v>
      </c>
      <c r="G71" s="68">
        <f>VLOOKUP(F71,Hoja1!$B$2:$D$12,3,FALSE)</f>
        <v>-0.06425749477108994</v>
      </c>
      <c r="H71" s="53">
        <f>VLOOKUP(F71,Hoja1!$B$2:$D$12,2,FALSE)</f>
        <v>-553</v>
      </c>
      <c r="T71" s="50"/>
    </row>
    <row r="72" spans="2:8" ht="13.5" customHeight="1" thickBot="1" thickTop="1">
      <c r="B72" s="69" t="str">
        <f>VLOOKUP(6,Hoja1!$A$16:$D$26,2,FALSE)</f>
        <v>Agencias Pamplona</v>
      </c>
      <c r="C72" s="71">
        <f>VLOOKUP(6,Hoja1!$A$16:$D$26,4,FALSE)</f>
        <v>0.0024373730534867975</v>
      </c>
      <c r="D72" s="69">
        <f>VLOOKUP(6,Hoja1!$A$16:$D$26,3,FALSE)</f>
        <v>54</v>
      </c>
      <c r="F72" s="72" t="str">
        <f>VLOOKUP(6,Hoja1!$A$2:$B$12,2,FALSE)</f>
        <v>Yamaguchi</v>
      </c>
      <c r="G72" s="68">
        <f>VLOOKUP(F72,Hoja1!$B$2:$D$12,3,FALSE)</f>
        <v>-0.06360630227582183</v>
      </c>
      <c r="H72" s="53">
        <f>VLOOKUP(F72,Hoja1!$B$2:$D$12,2,FALSE)</f>
        <v>-327</v>
      </c>
    </row>
    <row r="73" spans="2:20" ht="13.5" customHeight="1" thickBot="1" thickTop="1">
      <c r="B73" s="69" t="str">
        <f>VLOOKUP(7,Hoja1!$A$16:$D$26,2,FALSE)</f>
        <v>Ensanche</v>
      </c>
      <c r="C73" s="71">
        <f>VLOOKUP(7,Hoja1!$A$16:$D$26,4,FALSE)</f>
        <v>0.0062473071951744934</v>
      </c>
      <c r="D73" s="69">
        <f>VLOOKUP(7,Hoja1!$A$16:$D$26,3,FALSE)</f>
        <v>58</v>
      </c>
      <c r="F73" s="72" t="str">
        <f>VLOOKUP(7,Hoja1!$A$2:$B$12,2,FALSE)</f>
        <v>Agencias Pamplona</v>
      </c>
      <c r="G73" s="68">
        <f>VLOOKUP(F73,Hoja1!$B$2:$D$12,3,FALSE)</f>
        <v>-0.05945877270994791</v>
      </c>
      <c r="H73" s="53">
        <f>VLOOKUP(F73,Hoja1!$B$2:$D$12,2,FALSE)</f>
        <v>-1404</v>
      </c>
      <c r="T73" s="50"/>
    </row>
    <row r="74" spans="2:20" ht="13.5" customHeight="1" thickBot="1" thickTop="1">
      <c r="B74" s="69" t="str">
        <f>VLOOKUP(8,Hoja1!$A$16:$D$26,2,FALSE)</f>
        <v>Santesteban</v>
      </c>
      <c r="C74" s="71">
        <f>VLOOKUP(8,Hoja1!$A$16:$D$26,4,FALSE)</f>
        <v>0.00875</v>
      </c>
      <c r="D74" s="69">
        <f>VLOOKUP(8,Hoja1!$A$16:$D$26,3,FALSE)</f>
        <v>7</v>
      </c>
      <c r="F74" s="72" t="str">
        <f>VLOOKUP(8,Hoja1!$A$2:$B$12,2,FALSE)</f>
        <v>Lodosa</v>
      </c>
      <c r="G74" s="68">
        <f>VLOOKUP(F74,Hoja1!$B$2:$D$12,3,FALSE)</f>
        <v>-0.054715622750179986</v>
      </c>
      <c r="H74" s="53">
        <f>VLOOKUP(F74,Hoja1!$B$2:$D$12,2,FALSE)</f>
        <v>-76</v>
      </c>
      <c r="T74" s="50"/>
    </row>
    <row r="75" spans="2:20" ht="16.5" customHeight="1" thickBot="1" thickTop="1">
      <c r="B75" s="69" t="str">
        <f>VLOOKUP(9,Hoja1!$A$16:$D$26,2,FALSE)</f>
        <v>Yamaguchi</v>
      </c>
      <c r="C75" s="71">
        <f>VLOOKUP(9,Hoja1!$A$16:$D$26,4,FALSE)</f>
        <v>0.013900589721988205</v>
      </c>
      <c r="D75" s="72">
        <f>VLOOKUP(9,Hoja1!$A$16:$D$26,3,FALSE)</f>
        <v>66</v>
      </c>
      <c r="F75" s="72" t="str">
        <f>VLOOKUP(9,Hoja1!$A$2:$B$12,2,FALSE)</f>
        <v>Ensanche</v>
      </c>
      <c r="G75" s="68">
        <f>VLOOKUP(F75,Hoja1!$B$2:$D$12,3,FALSE)</f>
        <v>-0.053111696736265965</v>
      </c>
      <c r="H75" s="53">
        <f>VLOOKUP(F75,Hoja1!$B$2:$D$12,2,FALSE)</f>
        <v>-524</v>
      </c>
      <c r="T75" s="50"/>
    </row>
    <row r="76" spans="2:8" ht="13.5" customHeight="1" thickBot="1" thickTop="1">
      <c r="B76" s="72" t="str">
        <f>VLOOKUP(10,Hoja1!$A$16:$D$26,2,FALSE)</f>
        <v>Aoiz</v>
      </c>
      <c r="C76" s="68">
        <f>VLOOKUP(10,Hoja1!$A$16:$D$26,4,FALSE)</f>
        <v>0.05279034690799397</v>
      </c>
      <c r="D76" s="72">
        <f>VLOOKUP(10,Hoja1!$A$16:$D$26,3,FALSE)</f>
        <v>35</v>
      </c>
      <c r="F76" s="72" t="str">
        <f>VLOOKUP(10,Hoja1!$A$2:$B$12,2,FALSE)</f>
        <v>Aoiz</v>
      </c>
      <c r="G76" s="68">
        <f>VLOOKUP(F76,Hoja1!$B$2:$D$12,3,FALSE)</f>
        <v>-0.023776223776223775</v>
      </c>
      <c r="H76" s="53">
        <f>VLOOKUP(F76,Hoja1!$B$2:$D$12,2,FALSE)</f>
        <v>-17</v>
      </c>
    </row>
    <row r="77" spans="2:11" ht="13.5" customHeight="1" thickBot="1" thickTop="1">
      <c r="B77" s="72" t="str">
        <f>VLOOKUP(11,Hoja1!$A$16:$D$26,2,FALSE)</f>
        <v>Alsasua</v>
      </c>
      <c r="C77" s="68">
        <f>VLOOKUP(11,Hoja1!$A$16:$D$26,4,FALSE)</f>
        <v>0.10788863109048724</v>
      </c>
      <c r="D77" s="72">
        <f>VLOOKUP(11,Hoja1!$A$16:$D$26,3,FALSE)</f>
        <v>93</v>
      </c>
      <c r="F77" s="72" t="str">
        <f>VLOOKUP(11,Hoja1!$A$2:$B$12,2,FALSE)</f>
        <v>Alsasua</v>
      </c>
      <c r="G77" s="68">
        <f>VLOOKUP(F77,Hoja1!$B$2:$D$12,3,FALSE)</f>
        <v>-0.022517911975435005</v>
      </c>
      <c r="H77" s="53">
        <f>VLOOKUP(F77,Hoja1!$B$2:$D$12,2,FALSE)</f>
        <v>-22</v>
      </c>
      <c r="J77" s="7"/>
      <c r="K77" s="7"/>
    </row>
    <row r="78" spans="8:10" ht="11.25" customHeight="1" thickTop="1">
      <c r="H78" s="7"/>
      <c r="I78" s="7"/>
      <c r="J78" s="7"/>
    </row>
    <row r="79" ht="11.25" customHeight="1"/>
    <row r="80" spans="1:16" s="2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3"/>
    </row>
    <row r="81" ht="11.25" customHeight="1"/>
    <row r="82" ht="11.25" customHeight="1"/>
    <row r="83" ht="11.25" customHeight="1"/>
    <row r="84" ht="11.25" customHeight="1">
      <c r="D84" s="18" t="s">
        <v>14</v>
      </c>
    </row>
    <row r="85" ht="11.25" customHeight="1">
      <c r="D85" s="19" t="s">
        <v>34</v>
      </c>
    </row>
    <row r="86" ht="11.25" customHeight="1">
      <c r="D86" s="19"/>
    </row>
    <row r="87" ht="11.25" customHeight="1"/>
    <row r="88" spans="1:13" ht="11.25" customHeight="1">
      <c r="A88" s="34" t="s">
        <v>17</v>
      </c>
      <c r="B88" s="35">
        <v>42370</v>
      </c>
      <c r="C88" s="35">
        <v>42401</v>
      </c>
      <c r="D88" s="35">
        <v>42430</v>
      </c>
      <c r="E88" s="35">
        <v>42461</v>
      </c>
      <c r="F88" s="35">
        <v>42491</v>
      </c>
      <c r="G88" s="35">
        <v>42522</v>
      </c>
      <c r="H88" s="35">
        <v>42552</v>
      </c>
      <c r="I88" s="35">
        <v>42583</v>
      </c>
      <c r="J88" s="35">
        <v>42614</v>
      </c>
      <c r="K88" s="35">
        <v>42644</v>
      </c>
      <c r="L88" s="35">
        <v>42675</v>
      </c>
      <c r="M88" s="35">
        <v>42705</v>
      </c>
    </row>
    <row r="89" spans="1:13" ht="11.25" customHeight="1">
      <c r="A89" s="20" t="s">
        <v>0</v>
      </c>
      <c r="B89" s="51">
        <v>0.024848713231219382</v>
      </c>
      <c r="C89" s="51">
        <v>0.02479155579208799</v>
      </c>
      <c r="D89" s="51">
        <v>0.02456991318932886</v>
      </c>
      <c r="E89" s="51">
        <v>0.024627440005597145</v>
      </c>
      <c r="F89" s="52">
        <v>0.024990892531876138</v>
      </c>
      <c r="G89" s="52">
        <v>0.023526148570275858</v>
      </c>
      <c r="H89" s="51">
        <v>0.023481290713528252</v>
      </c>
      <c r="I89" s="51">
        <v>0.025116326897863698</v>
      </c>
      <c r="J89" s="51">
        <v>0.024464131154218218</v>
      </c>
      <c r="K89" s="52">
        <v>0.024524498656191853</v>
      </c>
      <c r="L89" s="52">
        <v>0.024514338575393153</v>
      </c>
      <c r="M89" s="52">
        <v>0.024921962791859157</v>
      </c>
    </row>
    <row r="90" spans="1:13" ht="11.25" customHeight="1">
      <c r="A90" s="21" t="s">
        <v>1</v>
      </c>
      <c r="B90" s="51">
        <v>0.021213397468578903</v>
      </c>
      <c r="C90" s="51">
        <v>0.020622671633847792</v>
      </c>
      <c r="D90" s="51">
        <v>0.02058070219179945</v>
      </c>
      <c r="E90" s="51">
        <v>0.02196879591408382</v>
      </c>
      <c r="F90" s="52">
        <v>0.02132361870066788</v>
      </c>
      <c r="G90" s="52">
        <v>0.01997074991174542</v>
      </c>
      <c r="H90" s="51">
        <v>0.019340503964045852</v>
      </c>
      <c r="I90" s="51">
        <v>0.018380935242551223</v>
      </c>
      <c r="J90" s="51">
        <v>0.01947456850465862</v>
      </c>
      <c r="K90" s="52">
        <v>0.0197178002894356</v>
      </c>
      <c r="L90" s="52">
        <v>0.02112241751464693</v>
      </c>
      <c r="M90" s="52">
        <v>0.021151204894493694</v>
      </c>
    </row>
    <row r="91" spans="1:15" ht="11.25" customHeight="1">
      <c r="A91" s="22" t="s">
        <v>2</v>
      </c>
      <c r="B91" s="74">
        <v>0.5883226564404939</v>
      </c>
      <c r="C91" s="74">
        <v>0.5882783395423098</v>
      </c>
      <c r="D91" s="74">
        <v>0.587479317300936</v>
      </c>
      <c r="E91" s="74">
        <v>0.5914083817253201</v>
      </c>
      <c r="F91" s="74">
        <v>0.5976684881602914</v>
      </c>
      <c r="G91" s="74">
        <v>0.599021634979071</v>
      </c>
      <c r="H91" s="74">
        <v>0.6031156895419886</v>
      </c>
      <c r="I91" s="74">
        <v>0.6070335998354713</v>
      </c>
      <c r="J91" s="74">
        <v>0.614658113130696</v>
      </c>
      <c r="K91" s="74">
        <v>0.6037574943146579</v>
      </c>
      <c r="L91" s="74">
        <v>0.5949994860725666</v>
      </c>
      <c r="M91" s="74">
        <v>0.5891122487201897</v>
      </c>
      <c r="N91" s="3"/>
      <c r="O91" s="3"/>
    </row>
    <row r="92" spans="1:13" ht="12.75">
      <c r="A92" s="23" t="s">
        <v>8</v>
      </c>
      <c r="B92" s="51">
        <v>0.24755613681200542</v>
      </c>
      <c r="C92" s="51">
        <v>0.24580894092602448</v>
      </c>
      <c r="D92" s="51">
        <v>0.24508715066071307</v>
      </c>
      <c r="E92" s="51">
        <v>0.2471839361925418</v>
      </c>
      <c r="F92" s="52">
        <v>0.25020036429872494</v>
      </c>
      <c r="G92" s="52">
        <v>0.24887790609713045</v>
      </c>
      <c r="H92" s="51">
        <v>0.25034085744584156</v>
      </c>
      <c r="I92" s="51">
        <v>0.253631198745469</v>
      </c>
      <c r="J92" s="51">
        <v>0.2565551652156204</v>
      </c>
      <c r="K92" s="52">
        <v>0.2508528013231342</v>
      </c>
      <c r="L92" s="52">
        <v>0.24994860725665535</v>
      </c>
      <c r="M92" s="52">
        <v>0.24632288675240355</v>
      </c>
    </row>
    <row r="93" spans="1:13" ht="12" customHeight="1">
      <c r="A93" s="23" t="s">
        <v>9</v>
      </c>
      <c r="B93" s="51">
        <v>0.1273912176091149</v>
      </c>
      <c r="C93" s="51">
        <v>0.12883626042221039</v>
      </c>
      <c r="D93" s="51">
        <v>0.12842539495455474</v>
      </c>
      <c r="E93" s="51">
        <v>0.12843116677161315</v>
      </c>
      <c r="F93" s="52">
        <v>0.12981177899210686</v>
      </c>
      <c r="G93" s="52">
        <v>0.12955771849311615</v>
      </c>
      <c r="H93" s="51">
        <v>0.13086401050345908</v>
      </c>
      <c r="I93" s="51">
        <v>0.13216278053420397</v>
      </c>
      <c r="J93" s="51">
        <v>0.1333435161142508</v>
      </c>
      <c r="K93" s="52">
        <v>0.1309437667976018</v>
      </c>
      <c r="L93" s="52">
        <v>0.12660602322952</v>
      </c>
      <c r="M93" s="52">
        <v>0.12595829691596955</v>
      </c>
    </row>
    <row r="94" spans="1:13" ht="11.25" customHeight="1">
      <c r="A94" s="23" t="s">
        <v>10</v>
      </c>
      <c r="B94" s="51">
        <v>0.21337530201937357</v>
      </c>
      <c r="C94" s="51">
        <v>0.21363313819407487</v>
      </c>
      <c r="D94" s="51">
        <v>0.2139667716856683</v>
      </c>
      <c r="E94" s="51">
        <v>0.21579327876116514</v>
      </c>
      <c r="F94" s="52">
        <v>0.21765634486945962</v>
      </c>
      <c r="G94" s="52">
        <v>0.22058601038882444</v>
      </c>
      <c r="H94" s="51">
        <v>0.221910821592688</v>
      </c>
      <c r="I94" s="51">
        <v>0.22123962055579835</v>
      </c>
      <c r="J94" s="51">
        <v>0.2247594318008248</v>
      </c>
      <c r="K94" s="52">
        <v>0.22196092619392185</v>
      </c>
      <c r="L94" s="52">
        <v>0.2184448555863912</v>
      </c>
      <c r="M94" s="52">
        <v>0.2168310650518167</v>
      </c>
    </row>
    <row r="95" spans="1:13" ht="11.25" customHeight="1">
      <c r="A95" s="21" t="s">
        <v>3</v>
      </c>
      <c r="B95" s="51">
        <v>0.1803914614412697</v>
      </c>
      <c r="C95" s="51">
        <v>0.18221128259712613</v>
      </c>
      <c r="D95" s="51">
        <v>0.18499966001042634</v>
      </c>
      <c r="E95" s="51">
        <v>0.18298001352643486</v>
      </c>
      <c r="F95" s="52">
        <v>0.179210686095932</v>
      </c>
      <c r="G95" s="52">
        <v>0.18172878107821877</v>
      </c>
      <c r="H95" s="51">
        <v>0.17767509973236378</v>
      </c>
      <c r="I95" s="51">
        <v>0.17362914213733</v>
      </c>
      <c r="J95" s="51">
        <v>0.1711725472226465</v>
      </c>
      <c r="K95" s="52">
        <v>0.17841637378540418</v>
      </c>
      <c r="L95" s="52">
        <v>0.17969472710453285</v>
      </c>
      <c r="M95" s="52">
        <v>0.18099637907354227</v>
      </c>
    </row>
    <row r="96" spans="1:15" s="2" customFormat="1" ht="11.25" customHeight="1">
      <c r="A96" s="21" t="s">
        <v>4</v>
      </c>
      <c r="B96" s="51">
        <v>0.02436104892159688</v>
      </c>
      <c r="C96" s="51">
        <v>0.024126308320028385</v>
      </c>
      <c r="D96" s="51">
        <v>0.02196332645798862</v>
      </c>
      <c r="E96" s="51">
        <v>0.022785046293057207</v>
      </c>
      <c r="F96" s="52">
        <v>0.022343655130540378</v>
      </c>
      <c r="G96" s="52">
        <v>0.022517524837359422</v>
      </c>
      <c r="H96" s="51">
        <v>0.022572337524617483</v>
      </c>
      <c r="I96" s="51">
        <v>0.02326537957273966</v>
      </c>
      <c r="J96" s="51">
        <v>0.022758515350542234</v>
      </c>
      <c r="K96" s="52">
        <v>0.022224519330163325</v>
      </c>
      <c r="L96" s="52">
        <v>0.022921163531709324</v>
      </c>
      <c r="M96" s="52">
        <v>0.02239980022474716</v>
      </c>
      <c r="N96"/>
      <c r="O96"/>
    </row>
    <row r="97" spans="1:13" ht="11.25" customHeight="1">
      <c r="A97" s="21" t="s">
        <v>5</v>
      </c>
      <c r="B97" s="51">
        <v>0.037705317757630835</v>
      </c>
      <c r="C97" s="51">
        <v>0.03809650523328011</v>
      </c>
      <c r="D97" s="51">
        <v>0.03841882182279743</v>
      </c>
      <c r="E97" s="51">
        <v>0.035705123720236015</v>
      </c>
      <c r="F97" s="52">
        <v>0.03375834851244687</v>
      </c>
      <c r="G97" s="52">
        <v>0.03457057844571083</v>
      </c>
      <c r="H97" s="51">
        <v>0.037241832045649646</v>
      </c>
      <c r="I97" s="51">
        <v>0.03570785881385126</v>
      </c>
      <c r="J97" s="51">
        <v>0.03161753474873988</v>
      </c>
      <c r="K97" s="52">
        <v>0.03387947074633037</v>
      </c>
      <c r="L97" s="52">
        <v>0.03540960016445678</v>
      </c>
      <c r="M97" s="52">
        <v>0.037782494693469844</v>
      </c>
    </row>
    <row r="98" spans="1:13" ht="11.25" customHeight="1">
      <c r="A98" s="21" t="s">
        <v>6</v>
      </c>
      <c r="B98" s="51">
        <v>0.05836455123800235</v>
      </c>
      <c r="C98" s="51">
        <v>0.0584974277097747</v>
      </c>
      <c r="D98" s="51">
        <v>0.05800222126521453</v>
      </c>
      <c r="E98" s="51">
        <v>0.05746402667972667</v>
      </c>
      <c r="F98" s="52">
        <v>0.057437765634486944</v>
      </c>
      <c r="G98" s="52">
        <v>0.05638206667002874</v>
      </c>
      <c r="H98" s="51">
        <v>0.05610261071554815</v>
      </c>
      <c r="I98" s="51">
        <v>0.05691663024756421</v>
      </c>
      <c r="J98" s="51">
        <v>0.05676900361488722</v>
      </c>
      <c r="K98" s="52">
        <v>0.05669836675625388</v>
      </c>
      <c r="L98" s="52">
        <v>0.05784253263439203</v>
      </c>
      <c r="M98" s="52">
        <v>0.05845923336246722</v>
      </c>
    </row>
    <row r="99" spans="1:13" ht="11.25" customHeight="1">
      <c r="A99" s="21" t="s">
        <v>7</v>
      </c>
      <c r="B99" s="51">
        <v>0.06479285350120807</v>
      </c>
      <c r="C99" s="51">
        <v>0.06337590917154515</v>
      </c>
      <c r="D99" s="51">
        <v>0.06398603776150864</v>
      </c>
      <c r="E99" s="51">
        <v>0.0630611721355442</v>
      </c>
      <c r="F99" s="52">
        <v>0.06326654523375835</v>
      </c>
      <c r="G99" s="52">
        <v>0.06228251550758989</v>
      </c>
      <c r="H99" s="51">
        <v>0.060470635762258244</v>
      </c>
      <c r="I99" s="51">
        <v>0.059950127252628604</v>
      </c>
      <c r="J99" s="51">
        <v>0.059085586273611324</v>
      </c>
      <c r="K99" s="52">
        <v>0.060781476121562955</v>
      </c>
      <c r="L99" s="52">
        <v>0.0634957344023024</v>
      </c>
      <c r="M99" s="52">
        <v>0.06517667623923086</v>
      </c>
    </row>
    <row r="100" spans="1:13" ht="11.25" customHeight="1">
      <c r="A100" s="24" t="s">
        <v>13</v>
      </c>
      <c r="B100" s="54">
        <v>1</v>
      </c>
      <c r="C100" s="54">
        <v>1</v>
      </c>
      <c r="D100" s="54">
        <v>1</v>
      </c>
      <c r="E100" s="54">
        <v>1</v>
      </c>
      <c r="F100" s="54">
        <v>1</v>
      </c>
      <c r="G100" s="54">
        <v>1</v>
      </c>
      <c r="H100" s="54">
        <v>1</v>
      </c>
      <c r="I100" s="54">
        <v>1</v>
      </c>
      <c r="J100" s="54">
        <v>1</v>
      </c>
      <c r="K100" s="54">
        <v>1</v>
      </c>
      <c r="L100" s="54">
        <v>1</v>
      </c>
      <c r="M100" s="54">
        <v>1</v>
      </c>
    </row>
    <row r="101" spans="1:13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1.25" customHeight="1">
      <c r="A102" s="34" t="s">
        <v>17</v>
      </c>
      <c r="B102" s="35">
        <v>42736</v>
      </c>
      <c r="C102" s="35">
        <v>42767</v>
      </c>
      <c r="D102" s="35">
        <v>42795</v>
      </c>
      <c r="E102" s="35">
        <v>42826</v>
      </c>
      <c r="F102" s="35">
        <v>42856</v>
      </c>
      <c r="G102" s="35">
        <v>42887</v>
      </c>
      <c r="H102" s="35">
        <v>42917</v>
      </c>
      <c r="I102" s="35">
        <v>42948</v>
      </c>
      <c r="J102" s="35">
        <v>42979</v>
      </c>
      <c r="K102" s="35">
        <v>43009</v>
      </c>
      <c r="L102" s="35">
        <v>43040</v>
      </c>
      <c r="M102" s="35">
        <v>43070</v>
      </c>
    </row>
    <row r="103" spans="1:13" ht="11.25" customHeight="1">
      <c r="A103" s="20" t="s">
        <v>0</v>
      </c>
      <c r="B103" s="51">
        <f>B52/$B$63</f>
        <v>0.024368362349061635</v>
      </c>
      <c r="C103" s="51">
        <f>C52/$C$63</f>
        <v>0.023600196463654223</v>
      </c>
      <c r="D103" s="51">
        <f>D52/$D$63</f>
        <v>0.024260897578866503</v>
      </c>
      <c r="E103" s="51">
        <f>E52/$E$63</f>
        <v>0.024416938110749187</v>
      </c>
      <c r="F103" s="51">
        <f>F52/$F$63</f>
        <v>0.024066570581676775</v>
      </c>
      <c r="G103" s="51">
        <f>G52/$G$63</f>
        <v>0.022817073849407312</v>
      </c>
      <c r="H103" s="51">
        <f>H52/$H$63</f>
        <v>0.023856308637533557</v>
      </c>
      <c r="I103" s="51">
        <f>I52/$I$63</f>
        <v>0.026563934243831883</v>
      </c>
      <c r="J103" s="51"/>
      <c r="K103" s="51"/>
      <c r="L103" s="51"/>
      <c r="M103" s="51"/>
    </row>
    <row r="104" spans="1:13" ht="11.25" customHeight="1">
      <c r="A104" s="21" t="s">
        <v>1</v>
      </c>
      <c r="B104" s="51">
        <f aca="true" t="shared" si="4" ref="B104:B114">B53/$B$63</f>
        <v>0.022719557732408708</v>
      </c>
      <c r="C104" s="51">
        <f aca="true" t="shared" si="5" ref="C104:C113">C53/$C$63</f>
        <v>0.02200392927308448</v>
      </c>
      <c r="D104" s="51">
        <f aca="true" t="shared" si="6" ref="D104:D113">D53/$D$63</f>
        <v>0.020766733576190122</v>
      </c>
      <c r="E104" s="51">
        <f aca="true" t="shared" si="7" ref="E104:E114">E53/$E$63</f>
        <v>0.02069055374592834</v>
      </c>
      <c r="F104" s="51">
        <f aca="true" t="shared" si="8" ref="F104:F114">F53/$F$63</f>
        <v>0.019933103091942458</v>
      </c>
      <c r="G104" s="51">
        <f aca="true" t="shared" si="9" ref="G104:G114">G53/$G$63</f>
        <v>0.018726695976403807</v>
      </c>
      <c r="H104" s="51">
        <f aca="true" t="shared" si="10" ref="H104:H114">H53/$H$63</f>
        <v>0.01834887775717488</v>
      </c>
      <c r="I104" s="51">
        <f aca="true" t="shared" si="11" ref="I104:I114">I53/$I$63</f>
        <v>0.019415315290256183</v>
      </c>
      <c r="J104" s="51"/>
      <c r="K104" s="51"/>
      <c r="L104" s="51"/>
      <c r="M104" s="51"/>
    </row>
    <row r="105" spans="1:13" ht="12.75">
      <c r="A105" s="22" t="s">
        <v>2</v>
      </c>
      <c r="B105" s="74">
        <f t="shared" si="4"/>
        <v>0.5934726734881917</v>
      </c>
      <c r="C105" s="74">
        <f t="shared" si="5"/>
        <v>0.593614931237721</v>
      </c>
      <c r="D105" s="74">
        <f t="shared" si="6"/>
        <v>0.5922731891061384</v>
      </c>
      <c r="E105" s="74">
        <f t="shared" si="7"/>
        <v>0.6021368078175896</v>
      </c>
      <c r="F105" s="74">
        <f t="shared" si="8"/>
        <v>0.6062872216028065</v>
      </c>
      <c r="G105" s="74">
        <f t="shared" si="9"/>
        <v>0.6054037509043353</v>
      </c>
      <c r="H105" s="74">
        <f t="shared" si="10"/>
        <v>0.6131514128359118</v>
      </c>
      <c r="I105" s="74">
        <f t="shared" si="11"/>
        <v>0.6177575032683374</v>
      </c>
      <c r="J105" s="74"/>
      <c r="K105" s="51"/>
      <c r="L105" s="51"/>
      <c r="M105" s="51"/>
    </row>
    <row r="106" spans="1:13" ht="13.5" customHeight="1">
      <c r="A106" s="23" t="s">
        <v>8</v>
      </c>
      <c r="B106" s="51">
        <f t="shared" si="4"/>
        <v>0.24768439939867126</v>
      </c>
      <c r="C106" s="51">
        <f t="shared" si="5"/>
        <v>0.24641453831041257</v>
      </c>
      <c r="D106" s="51">
        <f t="shared" si="6"/>
        <v>0.2471935172106163</v>
      </c>
      <c r="E106" s="51">
        <f t="shared" si="7"/>
        <v>0.25130944625407164</v>
      </c>
      <c r="F106" s="51">
        <f t="shared" si="8"/>
        <v>0.2525494248497539</v>
      </c>
      <c r="G106" s="51">
        <f t="shared" si="9"/>
        <v>0.2546608047192387</v>
      </c>
      <c r="H106" s="51">
        <f t="shared" si="10"/>
        <v>0.25693963966457256</v>
      </c>
      <c r="I106" s="51">
        <f t="shared" si="11"/>
        <v>0.2598536897443743</v>
      </c>
      <c r="J106" s="51"/>
      <c r="K106" s="51"/>
      <c r="L106" s="51"/>
      <c r="M106" s="51"/>
    </row>
    <row r="107" spans="1:13" ht="12.75">
      <c r="A107" s="23" t="s">
        <v>9</v>
      </c>
      <c r="B107" s="51">
        <f t="shared" si="4"/>
        <v>0.12683671984869793</v>
      </c>
      <c r="C107" s="51">
        <f t="shared" si="5"/>
        <v>0.12833988212180747</v>
      </c>
      <c r="D107" s="51">
        <f t="shared" si="6"/>
        <v>0.12668203107575646</v>
      </c>
      <c r="E107" s="51">
        <f t="shared" si="7"/>
        <v>0.12943322475570032</v>
      </c>
      <c r="F107" s="51">
        <f t="shared" si="8"/>
        <v>0.12955157316509394</v>
      </c>
      <c r="G107" s="51">
        <f t="shared" si="9"/>
        <v>0.12716344816072125</v>
      </c>
      <c r="H107" s="51">
        <f t="shared" si="10"/>
        <v>0.13140342623086929</v>
      </c>
      <c r="I107" s="51">
        <f t="shared" si="11"/>
        <v>0.13390448109927403</v>
      </c>
      <c r="J107" s="51"/>
      <c r="K107" s="51"/>
      <c r="L107" s="51"/>
      <c r="M107" s="51"/>
    </row>
    <row r="108" spans="1:13" ht="12.75">
      <c r="A108" s="23" t="s">
        <v>10</v>
      </c>
      <c r="B108" s="51">
        <f t="shared" si="4"/>
        <v>0.21895155424082247</v>
      </c>
      <c r="C108" s="51">
        <f t="shared" si="5"/>
        <v>0.21886051080550098</v>
      </c>
      <c r="D108" s="51">
        <f t="shared" si="6"/>
        <v>0.21839764081976556</v>
      </c>
      <c r="E108" s="51">
        <f t="shared" si="7"/>
        <v>0.22139413680781758</v>
      </c>
      <c r="F108" s="51">
        <f t="shared" si="8"/>
        <v>0.22418622358795856</v>
      </c>
      <c r="G108" s="51">
        <f t="shared" si="9"/>
        <v>0.22357949802437532</v>
      </c>
      <c r="H108" s="51">
        <f t="shared" si="10"/>
        <v>0.22480834694046994</v>
      </c>
      <c r="I108" s="51">
        <f t="shared" si="11"/>
        <v>0.22399933242468917</v>
      </c>
      <c r="J108" s="51"/>
      <c r="K108" s="51"/>
      <c r="L108" s="51"/>
      <c r="M108" s="51"/>
    </row>
    <row r="109" spans="1:13" ht="12.75">
      <c r="A109" s="21" t="s">
        <v>3</v>
      </c>
      <c r="B109" s="51">
        <f t="shared" si="4"/>
        <v>0.17545220891324378</v>
      </c>
      <c r="C109" s="51">
        <f t="shared" si="5"/>
        <v>0.1757121807465619</v>
      </c>
      <c r="D109" s="51">
        <f t="shared" si="6"/>
        <v>0.1801105246202265</v>
      </c>
      <c r="E109" s="51">
        <f t="shared" si="7"/>
        <v>0.17581758957654722</v>
      </c>
      <c r="F109" s="51">
        <f t="shared" si="8"/>
        <v>0.17404073640986592</v>
      </c>
      <c r="G109" s="51">
        <f t="shared" si="9"/>
        <v>0.17327063275641383</v>
      </c>
      <c r="H109" s="51">
        <f t="shared" si="10"/>
        <v>0.16890377217502006</v>
      </c>
      <c r="I109" s="51">
        <f t="shared" si="11"/>
        <v>0.1645573141219994</v>
      </c>
      <c r="J109" s="51"/>
      <c r="K109" s="51"/>
      <c r="L109" s="51"/>
      <c r="M109" s="51"/>
    </row>
    <row r="110" spans="1:13" ht="12.75">
      <c r="A110" s="21" t="s">
        <v>4</v>
      </c>
      <c r="B110" s="51">
        <f t="shared" si="4"/>
        <v>0.023519712914019688</v>
      </c>
      <c r="C110" s="51">
        <f t="shared" si="5"/>
        <v>0.02330550098231827</v>
      </c>
      <c r="D110" s="51">
        <f t="shared" si="6"/>
        <v>0.022699675364904717</v>
      </c>
      <c r="E110" s="51">
        <f t="shared" si="7"/>
        <v>0.0232442996742671</v>
      </c>
      <c r="F110" s="51">
        <f t="shared" si="8"/>
        <v>0.02210861229706578</v>
      </c>
      <c r="G110" s="51">
        <f t="shared" si="9"/>
        <v>0.021314486059324393</v>
      </c>
      <c r="H110" s="51">
        <f t="shared" si="10"/>
        <v>0.022140425649683115</v>
      </c>
      <c r="I110" s="51">
        <f t="shared" si="11"/>
        <v>0.022447219826986733</v>
      </c>
      <c r="J110" s="51"/>
      <c r="K110" s="51"/>
      <c r="L110" s="51"/>
      <c r="M110" s="51"/>
    </row>
    <row r="111" spans="1:13" ht="12.75">
      <c r="A111" s="21" t="s">
        <v>5</v>
      </c>
      <c r="B111" s="51">
        <f t="shared" si="4"/>
        <v>0.03838320159061151</v>
      </c>
      <c r="C111" s="51">
        <f t="shared" si="5"/>
        <v>0.03899803536345776</v>
      </c>
      <c r="D111" s="51">
        <f t="shared" si="6"/>
        <v>0.03957574405868213</v>
      </c>
      <c r="E111" s="51">
        <f t="shared" si="7"/>
        <v>0.0349185667752443</v>
      </c>
      <c r="F111" s="51">
        <f t="shared" si="8"/>
        <v>0.0350800859326136</v>
      </c>
      <c r="G111" s="51">
        <f t="shared" si="9"/>
        <v>0.04079247593076966</v>
      </c>
      <c r="H111" s="51">
        <f t="shared" si="10"/>
        <v>0.03965903744499488</v>
      </c>
      <c r="I111" s="51">
        <f t="shared" si="11"/>
        <v>0.03652193263052488</v>
      </c>
      <c r="J111" s="51"/>
      <c r="K111" s="51"/>
      <c r="L111" s="51"/>
      <c r="M111" s="51"/>
    </row>
    <row r="112" spans="1:13" ht="12.75">
      <c r="A112" s="21" t="s">
        <v>6</v>
      </c>
      <c r="B112" s="51">
        <f t="shared" si="4"/>
        <v>0.05809611561030018</v>
      </c>
      <c r="C112" s="51">
        <f t="shared" si="5"/>
        <v>0.05783398821218075</v>
      </c>
      <c r="D112" s="51">
        <f t="shared" si="6"/>
        <v>0.05694743885212995</v>
      </c>
      <c r="E112" s="51">
        <f t="shared" si="7"/>
        <v>0.05704234527687296</v>
      </c>
      <c r="F112" s="51">
        <f t="shared" si="8"/>
        <v>0.055937780436733475</v>
      </c>
      <c r="G112" s="51">
        <f t="shared" si="9"/>
        <v>0.05542879403416996</v>
      </c>
      <c r="H112" s="51">
        <f t="shared" si="10"/>
        <v>0.054825229015027815</v>
      </c>
      <c r="I112" s="51">
        <f t="shared" si="11"/>
        <v>0.054435203471391615</v>
      </c>
      <c r="J112" s="51"/>
      <c r="K112" s="51"/>
      <c r="L112" s="51"/>
      <c r="M112" s="51"/>
    </row>
    <row r="113" spans="1:13" ht="12.75">
      <c r="A113" s="21" t="s">
        <v>7</v>
      </c>
      <c r="B113" s="51">
        <f t="shared" si="4"/>
        <v>0.06398816740216284</v>
      </c>
      <c r="C113" s="51">
        <f t="shared" si="5"/>
        <v>0.0649312377210216</v>
      </c>
      <c r="D113" s="51">
        <f t="shared" si="6"/>
        <v>0.06336579684286174</v>
      </c>
      <c r="E113" s="51">
        <f t="shared" si="7"/>
        <v>0.0617328990228013</v>
      </c>
      <c r="F113" s="51">
        <f t="shared" si="8"/>
        <v>0.06254588964729557</v>
      </c>
      <c r="G113" s="51">
        <f t="shared" si="9"/>
        <v>0.0622460904891758</v>
      </c>
      <c r="H113" s="51">
        <f t="shared" si="10"/>
        <v>0.059114936484653914</v>
      </c>
      <c r="I113" s="51">
        <f t="shared" si="11"/>
        <v>0.058301577146671855</v>
      </c>
      <c r="J113" s="51"/>
      <c r="K113" s="51"/>
      <c r="L113" s="51"/>
      <c r="M113" s="51"/>
    </row>
    <row r="114" spans="1:13" ht="12.75">
      <c r="A114" s="24" t="s">
        <v>13</v>
      </c>
      <c r="B114" s="54">
        <f t="shared" si="4"/>
        <v>1</v>
      </c>
      <c r="C114" s="54">
        <f>C63/$C$63</f>
        <v>1</v>
      </c>
      <c r="D114" s="54">
        <f>D63/$D$63</f>
        <v>1</v>
      </c>
      <c r="E114" s="54">
        <f t="shared" si="7"/>
        <v>1</v>
      </c>
      <c r="F114" s="54">
        <f t="shared" si="8"/>
        <v>1</v>
      </c>
      <c r="G114" s="54">
        <f t="shared" si="9"/>
        <v>1</v>
      </c>
      <c r="H114" s="54">
        <f t="shared" si="10"/>
        <v>1</v>
      </c>
      <c r="I114" s="54">
        <f t="shared" si="11"/>
        <v>1</v>
      </c>
      <c r="J114" s="54"/>
      <c r="K114" s="54"/>
      <c r="L114" s="48"/>
      <c r="M114" s="48"/>
    </row>
    <row r="115" spans="1:12" ht="12.75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6"/>
      <c r="L115" s="27"/>
    </row>
    <row r="121" ht="12.75">
      <c r="D121" s="18" t="s">
        <v>15</v>
      </c>
    </row>
    <row r="122" spans="4:6" ht="12.75">
      <c r="D122" s="19" t="s">
        <v>34</v>
      </c>
      <c r="E122" s="55"/>
      <c r="F122" s="55"/>
    </row>
  </sheetData>
  <sheetProtection/>
  <mergeCells count="4">
    <mergeCell ref="A14:O14"/>
    <mergeCell ref="A15:O15"/>
    <mergeCell ref="F65:H65"/>
    <mergeCell ref="B65:D65"/>
  </mergeCells>
  <conditionalFormatting sqref="G67:G77">
    <cfRule type="cellIs" priority="7" dxfId="3" operator="lessThan" stopIfTrue="1">
      <formula>$Q$63</formula>
    </cfRule>
    <cfRule type="cellIs" priority="8" dxfId="2" operator="greaterThanOrEqual" stopIfTrue="1">
      <formula>$Q$63</formula>
    </cfRule>
  </conditionalFormatting>
  <conditionalFormatting sqref="C67:C77">
    <cfRule type="cellIs" priority="1" dxfId="1" operator="lessThanOrEqual" stopIfTrue="1">
      <formula>$O$63</formula>
    </cfRule>
    <cfRule type="cellIs" priority="2" dxfId="0" operator="greaterThan" stopIfTrue="1">
      <formula>$O$63</formula>
    </cfRule>
  </conditionalFormatting>
  <printOptions horizontalCentered="1"/>
  <pageMargins left="0.7874015748031497" right="0.5511811023622047" top="0.4330708661417323" bottom="0.55" header="0" footer="0"/>
  <pageSetup horizontalDpi="600" verticalDpi="600" orientation="landscape" paperSize="9" scale="62" r:id="rId2"/>
  <headerFooter alignWithMargins="0">
    <oddFooter>&amp;RInf. 94/2017. Informe Observatorio de la Realidad Social</oddFooter>
  </headerFooter>
  <rowBreaks count="3" manualBreakCount="3">
    <brk id="30" max="255" man="1"/>
    <brk id="78" max="16" man="1"/>
    <brk id="116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H14" sqref="H14"/>
    </sheetView>
  </sheetViews>
  <sheetFormatPr defaultColWidth="11.421875" defaultRowHeight="12.75"/>
  <cols>
    <col min="2" max="2" width="21.421875" style="0" customWidth="1"/>
    <col min="3" max="3" width="20.57421875" style="0" customWidth="1"/>
    <col min="4" max="4" width="15.140625" style="0" customWidth="1"/>
  </cols>
  <sheetData>
    <row r="1" spans="1:4" ht="13.5" thickBot="1">
      <c r="A1" s="60" t="s">
        <v>19</v>
      </c>
      <c r="B1" s="60" t="s">
        <v>28</v>
      </c>
      <c r="C1" s="56" t="s">
        <v>20</v>
      </c>
      <c r="D1" s="57" t="s">
        <v>16</v>
      </c>
    </row>
    <row r="2" spans="1:4" ht="14.25" thickBot="1" thickTop="1">
      <c r="A2" s="61">
        <f>RANK(D2,Agencias!$Q$52:$Q$62,1)</f>
        <v>11</v>
      </c>
      <c r="B2" s="62" t="s">
        <v>0</v>
      </c>
      <c r="C2" s="63">
        <f>Agencias!P52</f>
        <v>-22</v>
      </c>
      <c r="D2" s="64">
        <f>Agencias!Q52</f>
        <v>-0.022517911975435005</v>
      </c>
    </row>
    <row r="3" spans="1:4" ht="14.25" thickBot="1" thickTop="1">
      <c r="A3" s="61">
        <f>RANK(D3,Agencias!$Q$52:$Q$62,1)</f>
        <v>10</v>
      </c>
      <c r="B3" s="62" t="s">
        <v>1</v>
      </c>
      <c r="C3" s="63">
        <f>Agencias!P53</f>
        <v>-17</v>
      </c>
      <c r="D3" s="64">
        <f>Agencias!Q53</f>
        <v>-0.023776223776223775</v>
      </c>
    </row>
    <row r="4" spans="1:4" ht="14.25" thickBot="1" thickTop="1">
      <c r="A4" s="61">
        <f>RANK(D4,Agencias!$Q$52:$Q$62,1)</f>
        <v>7</v>
      </c>
      <c r="B4" s="66" t="s">
        <v>31</v>
      </c>
      <c r="C4" s="63">
        <f>Agencias!P54</f>
        <v>-1404</v>
      </c>
      <c r="D4" s="64">
        <f>Agencias!Q54</f>
        <v>-0.05945877270994791</v>
      </c>
    </row>
    <row r="5" spans="1:4" ht="14.25" thickBot="1" thickTop="1">
      <c r="A5" s="61">
        <f>RANK(D5,Agencias!$Q$52:$Q$62,1)</f>
        <v>9</v>
      </c>
      <c r="B5" s="65" t="s">
        <v>8</v>
      </c>
      <c r="C5" s="63">
        <f>Agencias!P55</f>
        <v>-524</v>
      </c>
      <c r="D5" s="64">
        <f>Agencias!Q55</f>
        <v>-0.053111696736265965</v>
      </c>
    </row>
    <row r="6" spans="1:4" ht="14.25" thickBot="1" thickTop="1">
      <c r="A6" s="61">
        <f>RANK(D6,Agencias!$Q$52:$Q$62,1)</f>
        <v>6</v>
      </c>
      <c r="B6" s="65" t="s">
        <v>9</v>
      </c>
      <c r="C6" s="63">
        <f>Agencias!P56</f>
        <v>-327</v>
      </c>
      <c r="D6" s="64">
        <f>Agencias!Q56</f>
        <v>-0.06360630227582183</v>
      </c>
    </row>
    <row r="7" spans="1:4" ht="14.25" thickBot="1" thickTop="1">
      <c r="A7" s="61">
        <f>RANK(D7,Agencias!$Q$52:$Q$62,1)</f>
        <v>5</v>
      </c>
      <c r="B7" s="65" t="s">
        <v>10</v>
      </c>
      <c r="C7" s="63">
        <f>Agencias!P57</f>
        <v>-553</v>
      </c>
      <c r="D7" s="64">
        <f>Agencias!Q57</f>
        <v>-0.06425749477108994</v>
      </c>
    </row>
    <row r="8" spans="1:4" ht="14.25" thickBot="1" thickTop="1">
      <c r="A8" s="61">
        <f>RANK(D8,Agencias!$Q$52:$Q$62,1)</f>
        <v>1</v>
      </c>
      <c r="B8" s="66" t="s">
        <v>3</v>
      </c>
      <c r="C8" s="63">
        <f>Agencias!P58</f>
        <v>-838</v>
      </c>
      <c r="D8" s="64">
        <f>Agencias!Q58</f>
        <v>-0.12407462244595795</v>
      </c>
    </row>
    <row r="9" spans="1:4" ht="14.25" thickBot="1" thickTop="1">
      <c r="A9" s="61">
        <f>RANK(D9,Agencias!$Q$52:$Q$62,1)</f>
        <v>3</v>
      </c>
      <c r="B9" s="66" t="s">
        <v>4</v>
      </c>
      <c r="C9" s="63">
        <f>Agencias!P59</f>
        <v>-98</v>
      </c>
      <c r="D9" s="64">
        <f>Agencias!Q59</f>
        <v>-0.10828729281767956</v>
      </c>
    </row>
    <row r="10" spans="1:4" ht="14.25" thickBot="1" thickTop="1">
      <c r="A10" s="61">
        <f>RANK(D10,Agencias!$Q$52:$Q$62,1)</f>
        <v>8</v>
      </c>
      <c r="B10" s="66" t="s">
        <v>5</v>
      </c>
      <c r="C10" s="63">
        <f>Agencias!P60</f>
        <v>-76</v>
      </c>
      <c r="D10" s="64">
        <f>Agencias!Q60</f>
        <v>-0.054715622750179986</v>
      </c>
    </row>
    <row r="11" spans="1:4" ht="14.25" thickBot="1" thickTop="1">
      <c r="A11" s="61">
        <f>RANK(D11,Agencias!$Q$52:$Q$62,1)</f>
        <v>2</v>
      </c>
      <c r="B11" s="66" t="s">
        <v>6</v>
      </c>
      <c r="C11" s="63">
        <f>Agencias!P61</f>
        <v>-257</v>
      </c>
      <c r="D11" s="64">
        <f>Agencias!Q61</f>
        <v>-0.11607949412827462</v>
      </c>
    </row>
    <row r="12" spans="1:4" ht="14.25" thickBot="1" thickTop="1">
      <c r="A12" s="61">
        <f>RANK(D12,Agencias!$Q$52:$Q$62,1)</f>
        <v>4</v>
      </c>
      <c r="B12" s="62" t="s">
        <v>7</v>
      </c>
      <c r="C12" s="63">
        <f>Agencias!P62</f>
        <v>-236</v>
      </c>
      <c r="D12" s="64">
        <f>Agencias!Q62</f>
        <v>-0.10120068610634649</v>
      </c>
    </row>
    <row r="13" ht="13.5" thickTop="1"/>
    <row r="15" spans="1:4" ht="13.5" thickBot="1">
      <c r="A15" s="60" t="s">
        <v>19</v>
      </c>
      <c r="B15" s="60" t="s">
        <v>17</v>
      </c>
      <c r="C15" s="56" t="s">
        <v>25</v>
      </c>
      <c r="D15" s="57" t="s">
        <v>16</v>
      </c>
    </row>
    <row r="16" spans="1:4" ht="14.25" thickBot="1" thickTop="1">
      <c r="A16" s="61">
        <f>RANK(Agencias!O52,Agencias!$O$52:$O$62,1)</f>
        <v>11</v>
      </c>
      <c r="B16" s="62" t="s">
        <v>0</v>
      </c>
      <c r="C16" s="63">
        <f>Agencias!N52</f>
        <v>93</v>
      </c>
      <c r="D16" s="64">
        <f>Agencias!O52</f>
        <v>0.10788863109048724</v>
      </c>
    </row>
    <row r="17" spans="1:4" ht="14.25" thickBot="1" thickTop="1">
      <c r="A17" s="61">
        <f>RANK(Agencias!O53,Agencias!$O$52:$O$62,1)</f>
        <v>10</v>
      </c>
      <c r="B17" s="62" t="s">
        <v>1</v>
      </c>
      <c r="C17" s="63">
        <f>Agencias!N53</f>
        <v>35</v>
      </c>
      <c r="D17" s="64">
        <f>Agencias!O53</f>
        <v>0.05279034690799397</v>
      </c>
    </row>
    <row r="18" spans="1:4" ht="14.25" thickBot="1" thickTop="1">
      <c r="A18" s="61">
        <f>RANK(Agencias!O54,Agencias!$O$52:$O$62,1)</f>
        <v>6</v>
      </c>
      <c r="B18" s="66" t="s">
        <v>31</v>
      </c>
      <c r="C18" s="63">
        <f>Agencias!N54</f>
        <v>54</v>
      </c>
      <c r="D18" s="64">
        <f>Agencias!O54</f>
        <v>0.0024373730534867975</v>
      </c>
    </row>
    <row r="19" spans="1:4" ht="14.25" thickBot="1" thickTop="1">
      <c r="A19" s="61">
        <f>RANK(Agencias!O55,Agencias!$O$52:$O$62,1)</f>
        <v>7</v>
      </c>
      <c r="B19" s="65" t="s">
        <v>8</v>
      </c>
      <c r="C19" s="63">
        <f>Agencias!N55</f>
        <v>58</v>
      </c>
      <c r="D19" s="64">
        <f>Agencias!O55</f>
        <v>0.0062473071951744934</v>
      </c>
    </row>
    <row r="20" spans="1:4" ht="14.25" thickBot="1" thickTop="1">
      <c r="A20" s="61">
        <f>RANK(Agencias!O56,Agencias!$O$52:$O$62,1)</f>
        <v>9</v>
      </c>
      <c r="B20" s="65" t="s">
        <v>9</v>
      </c>
      <c r="C20" s="63">
        <f>Agencias!N56</f>
        <v>66</v>
      </c>
      <c r="D20" s="64">
        <f>Agencias!O56</f>
        <v>0.013900589721988205</v>
      </c>
    </row>
    <row r="21" spans="1:4" ht="14.25" thickBot="1" thickTop="1">
      <c r="A21" s="61">
        <f>RANK(Agencias!O57,Agencias!$O$52:$O$62,1)</f>
        <v>5</v>
      </c>
      <c r="B21" s="65" t="s">
        <v>10</v>
      </c>
      <c r="C21" s="63">
        <f>Agencias!N57</f>
        <v>-70</v>
      </c>
      <c r="D21" s="64">
        <f>Agencias!O57</f>
        <v>-0.008617505847593254</v>
      </c>
    </row>
    <row r="22" spans="1:4" ht="14.25" thickBot="1" thickTop="1">
      <c r="A22" s="61">
        <f>RANK(Agencias!O58,Agencias!$O$52:$O$62,1)</f>
        <v>2</v>
      </c>
      <c r="B22" s="66" t="s">
        <v>3</v>
      </c>
      <c r="C22" s="63">
        <f>Agencias!N58</f>
        <v>-187</v>
      </c>
      <c r="D22" s="64">
        <f>Agencias!O58</f>
        <v>-0.03064066852367688</v>
      </c>
    </row>
    <row r="23" spans="1:4" ht="14.25" thickBot="1" thickTop="1">
      <c r="A23" s="61">
        <f>RANK(Agencias!O59,Agencias!$O$52:$O$62,1)</f>
        <v>8</v>
      </c>
      <c r="B23" s="66" t="s">
        <v>4</v>
      </c>
      <c r="C23" s="63">
        <f>Agencias!N59</f>
        <v>7</v>
      </c>
      <c r="D23" s="64">
        <f>Agencias!O59</f>
        <v>0.00875</v>
      </c>
    </row>
    <row r="24" spans="1:4" ht="14.25" thickBot="1" thickTop="1">
      <c r="A24" s="61">
        <f>RANK(Agencias!O60,Agencias!$O$52:$O$62,1)</f>
        <v>1</v>
      </c>
      <c r="B24" s="66" t="s">
        <v>5</v>
      </c>
      <c r="C24" s="63">
        <f>Agencias!N60</f>
        <v>-120</v>
      </c>
      <c r="D24" s="64">
        <f>Agencias!O60</f>
        <v>-0.0837404047452896</v>
      </c>
    </row>
    <row r="25" spans="1:4" ht="14.25" thickBot="1" thickTop="1">
      <c r="A25" s="61">
        <f>RANK(Agencias!O61,Agencias!$O$52:$O$62,1)</f>
        <v>4</v>
      </c>
      <c r="B25" s="66" t="s">
        <v>6</v>
      </c>
      <c r="C25" s="63">
        <f>Agencias!N61</f>
        <v>-24</v>
      </c>
      <c r="D25" s="64">
        <f>Agencias!O61</f>
        <v>-0.012115093387178193</v>
      </c>
    </row>
    <row r="26" spans="1:4" ht="14.25" thickBot="1" thickTop="1">
      <c r="A26" s="61">
        <f>RANK(Agencias!O62,Agencias!$O$52:$O$62,1)</f>
        <v>3</v>
      </c>
      <c r="B26" s="62" t="s">
        <v>7</v>
      </c>
      <c r="C26" s="63">
        <f>Agencias!N62</f>
        <v>-40</v>
      </c>
      <c r="D26" s="64">
        <f>Agencias!O62</f>
        <v>-0.018726591760299626</v>
      </c>
    </row>
    <row r="27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Sanz García, Beatriz (Observatorio Realidad Social)</cp:lastModifiedBy>
  <cp:lastPrinted>2016-01-12T13:43:52Z</cp:lastPrinted>
  <dcterms:created xsi:type="dcterms:W3CDTF">2008-10-07T08:49:59Z</dcterms:created>
  <dcterms:modified xsi:type="dcterms:W3CDTF">2017-09-01T07:51:26Z</dcterms:modified>
  <cp:category/>
  <cp:version/>
  <cp:contentType/>
  <cp:contentStatus/>
</cp:coreProperties>
</file>