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firstSheet="1" activeTab="1"/>
  </bookViews>
  <sheets>
    <sheet name="Hoja2" sheetId="1" state="hidden" r:id="rId1"/>
    <sheet name="Agencias" sheetId="2" r:id="rId2"/>
    <sheet name="Hoja1" sheetId="3" state="hidden" r:id="rId3"/>
  </sheets>
  <definedNames>
    <definedName name="_xlnm.Print_Area" localSheetId="1">'Agencias'!$A$1:$Q$184</definedName>
  </definedNames>
  <calcPr fullCalcOnLoad="1"/>
</workbook>
</file>

<file path=xl/sharedStrings.xml><?xml version="1.0" encoding="utf-8"?>
<sst xmlns="http://schemas.openxmlformats.org/spreadsheetml/2006/main" count="103" uniqueCount="36">
  <si>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</si>
  <si>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</si>
  <si>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</si>
  <si>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</si>
  <si>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</si>
  <si>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</si>
  <si>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</si>
  <si>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</si>
  <si>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</si>
  <si>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</si>
  <si>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</si>
  <si>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</si>
  <si>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</si>
  <si>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</si>
  <si>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</si>
  <si>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</si>
  <si>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</si>
  <si>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</si>
  <si>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</si>
  <si>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</si>
  <si>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</si>
  <si>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</si>
  <si>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</si>
  <si>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</si>
  <si>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</si>
  <si>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</si>
  <si>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</si>
  <si>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</si>
  <si>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</si>
  <si>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</si>
  <si>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</si>
  <si>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Agencias Pamplona</t>
  </si>
  <si>
    <t>INF 107/2017</t>
  </si>
  <si>
    <t>(septiembre 2017 -Septiembre 2016)</t>
  </si>
  <si>
    <t>(Septiembre 2017 -Septiembre 2016)</t>
  </si>
  <si>
    <t>(Septiembre 2017 - Septiembre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</si>
</sst>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9.25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sz val="4.4"/>
      <color indexed="8"/>
      <name val="Arial"/>
      <family val="2"/>
    </font>
    <font>
      <sz val="4.3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24" borderId="10" xfId="0" applyFont="1" applyFill="1" applyBorder="1" applyAlignment="1">
      <alignment horizontal="left"/>
    </xf>
    <xf numFmtId="0" fontId="15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3" fontId="15" fillId="24" borderId="11" xfId="0" applyNumberFormat="1" applyFont="1" applyFill="1" applyBorder="1" applyAlignment="1">
      <alignment horizontal="left"/>
    </xf>
    <xf numFmtId="0" fontId="15" fillId="25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25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25" borderId="11" xfId="0" applyFont="1" applyFill="1" applyBorder="1" applyAlignment="1">
      <alignment/>
    </xf>
    <xf numFmtId="17" fontId="15" fillId="25" borderId="13" xfId="0" applyNumberFormat="1" applyFont="1" applyFill="1" applyBorder="1" applyAlignment="1">
      <alignment horizontal="center"/>
    </xf>
    <xf numFmtId="17" fontId="20" fillId="25" borderId="11" xfId="0" applyNumberFormat="1" applyFont="1" applyFill="1" applyBorder="1" applyAlignment="1">
      <alignment horizontal="center" wrapText="1"/>
    </xf>
    <xf numFmtId="17" fontId="21" fillId="25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24" borderId="12" xfId="0" applyNumberFormat="1" applyFont="1" applyFill="1" applyBorder="1" applyAlignment="1">
      <alignment/>
    </xf>
    <xf numFmtId="3" fontId="17" fillId="24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25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25" borderId="11" xfId="54" applyNumberFormat="1" applyFont="1" applyFill="1" applyBorder="1" applyAlignment="1">
      <alignment/>
    </xf>
    <xf numFmtId="0" fontId="0" fillId="0" borderId="0" xfId="0" applyAlignment="1">
      <alignment horizontal="left"/>
    </xf>
    <xf numFmtId="17" fontId="20" fillId="25" borderId="15" xfId="0" applyNumberFormat="1" applyFont="1" applyFill="1" applyBorder="1" applyAlignment="1">
      <alignment horizontal="center" wrapText="1"/>
    </xf>
    <xf numFmtId="17" fontId="21" fillId="25" borderId="15" xfId="0" applyNumberFormat="1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left" vertical="center"/>
    </xf>
    <xf numFmtId="3" fontId="17" fillId="24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0" fontId="16" fillId="0" borderId="11" xfId="54" applyNumberFormat="1" applyFont="1" applyBorder="1" applyAlignment="1">
      <alignment/>
    </xf>
    <xf numFmtId="3" fontId="17" fillId="16" borderId="11" xfId="0" applyNumberFormat="1" applyFont="1" applyFill="1" applyBorder="1" applyAlignment="1">
      <alignment/>
    </xf>
    <xf numFmtId="3" fontId="18" fillId="16" borderId="11" xfId="0" applyNumberFormat="1" applyFont="1" applyFill="1" applyBorder="1" applyAlignment="1">
      <alignment/>
    </xf>
    <xf numFmtId="3" fontId="17" fillId="24" borderId="11" xfId="0" applyNumberFormat="1" applyFont="1" applyFill="1" applyBorder="1" applyAlignment="1">
      <alignment/>
    </xf>
    <xf numFmtId="3" fontId="18" fillId="24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(Septiembre 2017- Septiembre 2016)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815"/>
          <c:w val="0.864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Agencias!$J$37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Agencias!$J$38:$J$48</c:f>
              <c:numCache>
                <c:ptCount val="11"/>
                <c:pt idx="0">
                  <c:v>961</c:v>
                </c:pt>
                <c:pt idx="1">
                  <c:v>765</c:v>
                </c:pt>
                <c:pt idx="2">
                  <c:v>24145</c:v>
                </c:pt>
                <c:pt idx="3">
                  <c:v>10078</c:v>
                </c:pt>
                <c:pt idx="4">
                  <c:v>5238</c:v>
                </c:pt>
                <c:pt idx="5">
                  <c:v>8829</c:v>
                </c:pt>
                <c:pt idx="6">
                  <c:v>6724</c:v>
                </c:pt>
                <c:pt idx="7">
                  <c:v>894</c:v>
                </c:pt>
                <c:pt idx="8">
                  <c:v>1242</c:v>
                </c:pt>
                <c:pt idx="9">
                  <c:v>2230</c:v>
                </c:pt>
                <c:pt idx="10">
                  <c:v>2321</c:v>
                </c:pt>
              </c:numCache>
            </c:numRef>
          </c:val>
        </c:ser>
        <c:ser>
          <c:idx val="1"/>
          <c:order val="1"/>
          <c:tx>
            <c:strRef>
              <c:f>Agencias!$J$51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Agencias!$J$52:$J$62</c:f>
              <c:numCache>
                <c:ptCount val="11"/>
                <c:pt idx="0">
                  <c:v>883</c:v>
                </c:pt>
                <c:pt idx="1">
                  <c:v>708</c:v>
                </c:pt>
                <c:pt idx="2">
                  <c:v>21756</c:v>
                </c:pt>
                <c:pt idx="3">
                  <c:v>9092</c:v>
                </c:pt>
                <c:pt idx="4">
                  <c:v>4758</c:v>
                </c:pt>
                <c:pt idx="5">
                  <c:v>7906</c:v>
                </c:pt>
                <c:pt idx="6">
                  <c:v>5932</c:v>
                </c:pt>
                <c:pt idx="7">
                  <c:v>763</c:v>
                </c:pt>
                <c:pt idx="8">
                  <c:v>1221</c:v>
                </c:pt>
                <c:pt idx="9">
                  <c:v>1931</c:v>
                </c:pt>
                <c:pt idx="10">
                  <c:v>2101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4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15"/>
          <c:w val="0.1002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Septiembre 2017 - Septiembre 2016</a:t>
            </a:r>
          </a:p>
        </c:rich>
      </c:tx>
      <c:layout>
        <c:manualLayout>
          <c:xMode val="factor"/>
          <c:yMode val="factor"/>
          <c:x val="-0.046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59175"/>
          <c:w val="0.8145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Agencias!$J$88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Agencias!$J$89:$J$99</c:f>
              <c:numCache>
                <c:ptCount val="11"/>
                <c:pt idx="0">
                  <c:v>0.024464131154218218</c:v>
                </c:pt>
                <c:pt idx="1">
                  <c:v>0.01947456850465862</c:v>
                </c:pt>
                <c:pt idx="2">
                  <c:v>0.614658113130696</c:v>
                </c:pt>
                <c:pt idx="3">
                  <c:v>0.2565551652156204</c:v>
                </c:pt>
                <c:pt idx="4">
                  <c:v>0.1333435161142508</c:v>
                </c:pt>
                <c:pt idx="5">
                  <c:v>0.2247594318008248</c:v>
                </c:pt>
                <c:pt idx="6">
                  <c:v>0.1711725472226465</c:v>
                </c:pt>
                <c:pt idx="7">
                  <c:v>0.022758515350542234</c:v>
                </c:pt>
                <c:pt idx="8">
                  <c:v>0.03161753474873988</c:v>
                </c:pt>
                <c:pt idx="9">
                  <c:v>0.05676900361488722</c:v>
                </c:pt>
                <c:pt idx="10">
                  <c:v>0.059085586273611324</c:v>
                </c:pt>
              </c:numCache>
            </c:numRef>
          </c:val>
        </c:ser>
        <c:ser>
          <c:idx val="1"/>
          <c:order val="1"/>
          <c:tx>
            <c:strRef>
              <c:f>Agencias!$J$102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Agencias!$J$103:$J$113</c:f>
              <c:numCache>
                <c:ptCount val="11"/>
                <c:pt idx="0">
                  <c:v>0.02501770789063607</c:v>
                </c:pt>
                <c:pt idx="1">
                  <c:v>0.02005949851253719</c:v>
                </c:pt>
                <c:pt idx="2">
                  <c:v>0.6164045898852528</c:v>
                </c:pt>
                <c:pt idx="3">
                  <c:v>0.25760022666100013</c:v>
                </c:pt>
                <c:pt idx="4">
                  <c:v>0.13480662983425415</c:v>
                </c:pt>
                <c:pt idx="5">
                  <c:v>0.2239977333899986</c:v>
                </c:pt>
                <c:pt idx="6">
                  <c:v>0.16806913160504322</c:v>
                </c:pt>
                <c:pt idx="7">
                  <c:v>0.02161779288851112</c:v>
                </c:pt>
                <c:pt idx="8">
                  <c:v>0.03459413514662133</c:v>
                </c:pt>
                <c:pt idx="9">
                  <c:v>0.05471029890919394</c:v>
                </c:pt>
                <c:pt idx="10">
                  <c:v>0.05952684516220428</c:v>
                </c:pt>
              </c:numCache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6425"/>
          <c:w val="0.121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Septiembre 2017- Septiembre 2016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75"/>
          <c:y val="0.15375"/>
          <c:w val="0.970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Agencias!$Q$52:$Q$62</c:f>
              <c:numCache>
                <c:ptCount val="11"/>
                <c:pt idx="0">
                  <c:v>-0.08116545265348596</c:v>
                </c:pt>
                <c:pt idx="1">
                  <c:v>-0.07450980392156863</c:v>
                </c:pt>
                <c:pt idx="2">
                  <c:v>-0.0989438807206461</c:v>
                </c:pt>
                <c:pt idx="3">
                  <c:v>-0.09783687239531653</c:v>
                </c:pt>
                <c:pt idx="4">
                  <c:v>-0.09163802978235967</c:v>
                </c:pt>
                <c:pt idx="5">
                  <c:v>-0.10454185071922074</c:v>
                </c:pt>
                <c:pt idx="6">
                  <c:v>-0.11778703152885188</c:v>
                </c:pt>
                <c:pt idx="7">
                  <c:v>-0.1465324384787472</c:v>
                </c:pt>
                <c:pt idx="8">
                  <c:v>-0.016908212560386472</c:v>
                </c:pt>
                <c:pt idx="9">
                  <c:v>-0.13408071748878925</c:v>
                </c:pt>
                <c:pt idx="10">
                  <c:v>-0.0947867298578199</c:v>
                </c:pt>
              </c:numCache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(Septiembre 2017-Agosto 2017)</a:t>
            </a:r>
          </a:p>
        </c:rich>
      </c:tx>
      <c:layout>
        <c:manualLayout>
          <c:xMode val="factor"/>
          <c:yMode val="factor"/>
          <c:x val="-0.017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87"/>
          <c:w val="0.789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Agencias!$J$51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Agencias!$A$89:$A$99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Agencias!$J$52:$J$62</c:f>
              <c:numCache>
                <c:ptCount val="11"/>
                <c:pt idx="0">
                  <c:v>883</c:v>
                </c:pt>
                <c:pt idx="1">
                  <c:v>708</c:v>
                </c:pt>
                <c:pt idx="2">
                  <c:v>21756</c:v>
                </c:pt>
                <c:pt idx="3">
                  <c:v>9092</c:v>
                </c:pt>
                <c:pt idx="4">
                  <c:v>4758</c:v>
                </c:pt>
                <c:pt idx="5">
                  <c:v>7906</c:v>
                </c:pt>
                <c:pt idx="6">
                  <c:v>5932</c:v>
                </c:pt>
                <c:pt idx="7">
                  <c:v>763</c:v>
                </c:pt>
                <c:pt idx="8">
                  <c:v>1221</c:v>
                </c:pt>
                <c:pt idx="9">
                  <c:v>1931</c:v>
                </c:pt>
                <c:pt idx="10">
                  <c:v>2101</c:v>
                </c:pt>
              </c:numCache>
            </c:numRef>
          </c:val>
        </c:ser>
        <c:ser>
          <c:idx val="1"/>
          <c:order val="1"/>
          <c:tx>
            <c:strRef>
              <c:f>Agencias!$I$51</c:f>
              <c:strCache>
                <c:ptCount val="1"/>
                <c:pt idx="0">
                  <c:v>ago-17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Agencias!$A$89:$A$99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Agencias!$I$52:$I$62</c:f>
              <c:numCache>
                <c:ptCount val="11"/>
                <c:pt idx="0">
                  <c:v>955</c:v>
                </c:pt>
                <c:pt idx="1">
                  <c:v>698</c:v>
                </c:pt>
                <c:pt idx="2">
                  <c:v>22209</c:v>
                </c:pt>
                <c:pt idx="3">
                  <c:v>9342</c:v>
                </c:pt>
                <c:pt idx="4">
                  <c:v>4814</c:v>
                </c:pt>
                <c:pt idx="5">
                  <c:v>8053</c:v>
                </c:pt>
                <c:pt idx="6">
                  <c:v>5916</c:v>
                </c:pt>
                <c:pt idx="7">
                  <c:v>807</c:v>
                </c:pt>
                <c:pt idx="8">
                  <c:v>1313</c:v>
                </c:pt>
                <c:pt idx="9">
                  <c:v>1957</c:v>
                </c:pt>
                <c:pt idx="10">
                  <c:v>2096</c:v>
                </c:pt>
              </c:numCache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5025"/>
          <c:w val="0.158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Septiembre 2017-Agosto 2017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5"/>
          <c:y val="0.15225"/>
          <c:w val="0.973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>
                <c:ptCount val="11"/>
                <c:pt idx="0">
                  <c:v>Alsasua</c:v>
                </c:pt>
                <c:pt idx="1">
                  <c:v>Aoiz</c:v>
                </c:pt>
                <c:pt idx="2">
                  <c:v>Pamplona</c:v>
                </c:pt>
                <c:pt idx="3">
                  <c:v>Ensanche</c:v>
                </c:pt>
                <c:pt idx="4">
                  <c:v>Yamaguchi</c:v>
                </c:pt>
                <c:pt idx="5">
                  <c:v>Rochapea</c:v>
                </c:pt>
                <c:pt idx="6">
                  <c:v>Tudela</c:v>
                </c:pt>
                <c:pt idx="7">
                  <c:v>Santesteban</c:v>
                </c:pt>
                <c:pt idx="8">
                  <c:v>Lodosa</c:v>
                </c:pt>
                <c:pt idx="9">
                  <c:v>Estella</c:v>
                </c:pt>
                <c:pt idx="10">
                  <c:v>Tafalla</c:v>
                </c:pt>
              </c:strCache>
            </c:strRef>
          </c:cat>
          <c:val>
            <c:numRef>
              <c:f>Agencias!$O$52:$O$62</c:f>
              <c:numCache>
                <c:ptCount val="11"/>
                <c:pt idx="0">
                  <c:v>-0.07539267015706806</c:v>
                </c:pt>
                <c:pt idx="1">
                  <c:v>0.014326647564469915</c:v>
                </c:pt>
                <c:pt idx="2">
                  <c:v>-0.02039713629609618</c:v>
                </c:pt>
                <c:pt idx="3">
                  <c:v>-0.02676086491115393</c:v>
                </c:pt>
                <c:pt idx="4">
                  <c:v>-0.011632737847943497</c:v>
                </c:pt>
                <c:pt idx="5">
                  <c:v>-0.01825406680740097</c:v>
                </c:pt>
                <c:pt idx="6">
                  <c:v>0.002704530087897228</c:v>
                </c:pt>
                <c:pt idx="7">
                  <c:v>-0.05452292441140025</c:v>
                </c:pt>
                <c:pt idx="8">
                  <c:v>-0.07006854531607007</c:v>
                </c:pt>
                <c:pt idx="9">
                  <c:v>-0.013285641287685232</c:v>
                </c:pt>
                <c:pt idx="10">
                  <c:v>0.002385496183206107</c:v>
                </c:pt>
              </c:numCache>
            </c:numRef>
          </c:val>
        </c:ser>
        <c:axId val="24295168"/>
        <c:axId val="17329921"/>
      </c:bar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0.08275</cdr:y>
    </cdr:from>
    <cdr:to>
      <cdr:x>0.29125</cdr:x>
      <cdr:y>0.139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0" y="228600"/>
          <a:ext cx="1181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088725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0974050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0935950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409575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117675"/>
        <a:ext cx="47244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84935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5929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041100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Layout" zoomScaleSheetLayoutView="100" workbookViewId="0" topLeftCell="A128">
      <selection activeCell="I176" sqref="I176:J176"/>
    </sheetView>
  </sheetViews>
  <sheetFormatPr defaultColWidth="11.421875" defaultRowHeight="12.75"/>
  <cols>
    <col min="1" max="2" width="12.7109375" style="0" customWidth="1"/>
    <col min="3" max="5" width="9.2812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32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80" t="s">
        <v>11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20.25">
      <c r="A15" s="80" t="s">
        <v>33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34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>
        <v>820</v>
      </c>
      <c r="H52" s="38">
        <v>862</v>
      </c>
      <c r="I52" s="77">
        <v>955</v>
      </c>
      <c r="J52" s="75">
        <v>883</v>
      </c>
      <c r="K52" s="40"/>
      <c r="L52" s="41"/>
      <c r="M52" s="38"/>
      <c r="N52" s="42">
        <f aca="true" t="shared" si="0" ref="N52:N63">J52-I52</f>
        <v>-72</v>
      </c>
      <c r="O52" s="52">
        <f aca="true" t="shared" si="1" ref="O52:O63">N52/I52</f>
        <v>-0.07539267015706806</v>
      </c>
      <c r="P52" s="42">
        <f aca="true" t="shared" si="2" ref="P52:P63">J52-J38</f>
        <v>-78</v>
      </c>
      <c r="Q52" s="52">
        <f aca="true" t="shared" si="3" ref="Q52:Q63">P52/J38</f>
        <v>-0.08116545265348596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>
        <v>673</v>
      </c>
      <c r="H53" s="38">
        <v>663</v>
      </c>
      <c r="I53" s="77">
        <v>698</v>
      </c>
      <c r="J53" s="75">
        <v>708</v>
      </c>
      <c r="K53" s="40"/>
      <c r="L53" s="41"/>
      <c r="M53" s="38"/>
      <c r="N53" s="42">
        <f t="shared" si="0"/>
        <v>10</v>
      </c>
      <c r="O53" s="52">
        <f t="shared" si="1"/>
        <v>0.014326647564469915</v>
      </c>
      <c r="P53" s="42">
        <f t="shared" si="2"/>
        <v>-57</v>
      </c>
      <c r="Q53" s="52">
        <f t="shared" si="3"/>
        <v>-0.07450980392156863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>
        <v>21757</v>
      </c>
      <c r="H54" s="39">
        <v>22155</v>
      </c>
      <c r="I54" s="78">
        <v>22209</v>
      </c>
      <c r="J54" s="76">
        <v>21756</v>
      </c>
      <c r="K54" s="39"/>
      <c r="L54" s="39"/>
      <c r="M54" s="39"/>
      <c r="N54" s="42">
        <f t="shared" si="0"/>
        <v>-453</v>
      </c>
      <c r="O54" s="52">
        <f t="shared" si="1"/>
        <v>-0.02039713629609618</v>
      </c>
      <c r="P54" s="42">
        <f t="shared" si="2"/>
        <v>-2389</v>
      </c>
      <c r="Q54" s="52">
        <f t="shared" si="3"/>
        <v>-0.0989438807206461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>
        <v>9152</v>
      </c>
      <c r="H55" s="38">
        <v>9284</v>
      </c>
      <c r="I55" s="77">
        <v>9342</v>
      </c>
      <c r="J55" s="75">
        <v>9092</v>
      </c>
      <c r="K55" s="40"/>
      <c r="L55" s="33"/>
      <c r="M55" s="38"/>
      <c r="N55" s="42">
        <f t="shared" si="0"/>
        <v>-250</v>
      </c>
      <c r="O55" s="52">
        <f t="shared" si="1"/>
        <v>-0.02676086491115393</v>
      </c>
      <c r="P55" s="42">
        <f t="shared" si="2"/>
        <v>-986</v>
      </c>
      <c r="Q55" s="52">
        <f t="shared" si="3"/>
        <v>-0.09783687239531653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>
        <v>4570</v>
      </c>
      <c r="H56" s="38">
        <v>4748</v>
      </c>
      <c r="I56" s="77">
        <v>4814</v>
      </c>
      <c r="J56" s="75">
        <v>4758</v>
      </c>
      <c r="K56" s="40"/>
      <c r="L56" s="33"/>
      <c r="M56" s="38"/>
      <c r="N56" s="42">
        <f t="shared" si="0"/>
        <v>-56</v>
      </c>
      <c r="O56" s="52">
        <f t="shared" si="1"/>
        <v>-0.011632737847943497</v>
      </c>
      <c r="P56" s="42">
        <f t="shared" si="2"/>
        <v>-480</v>
      </c>
      <c r="Q56" s="52">
        <f t="shared" si="3"/>
        <v>-0.09163802978235967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>
        <v>8035</v>
      </c>
      <c r="H57" s="38">
        <v>8123</v>
      </c>
      <c r="I57" s="77">
        <v>8053</v>
      </c>
      <c r="J57" s="75">
        <v>7906</v>
      </c>
      <c r="K57" s="40"/>
      <c r="L57" s="33"/>
      <c r="M57" s="38"/>
      <c r="N57" s="42">
        <f t="shared" si="0"/>
        <v>-147</v>
      </c>
      <c r="O57" s="52">
        <f t="shared" si="1"/>
        <v>-0.01825406680740097</v>
      </c>
      <c r="P57" s="42">
        <f t="shared" si="2"/>
        <v>-923</v>
      </c>
      <c r="Q57" s="52">
        <f t="shared" si="3"/>
        <v>-0.10454185071922074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>
        <v>6227</v>
      </c>
      <c r="H58" s="38">
        <v>6103</v>
      </c>
      <c r="I58" s="77">
        <v>5916</v>
      </c>
      <c r="J58" s="75">
        <v>5932</v>
      </c>
      <c r="K58" s="40"/>
      <c r="L58" s="33"/>
      <c r="M58" s="38"/>
      <c r="N58" s="42">
        <f t="shared" si="0"/>
        <v>16</v>
      </c>
      <c r="O58" s="52">
        <f t="shared" si="1"/>
        <v>0.002704530087897228</v>
      </c>
      <c r="P58" s="42">
        <f t="shared" si="2"/>
        <v>-792</v>
      </c>
      <c r="Q58" s="52">
        <f t="shared" si="3"/>
        <v>-0.11778703152885188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>
        <v>766</v>
      </c>
      <c r="H59" s="38">
        <v>800</v>
      </c>
      <c r="I59" s="77">
        <v>807</v>
      </c>
      <c r="J59" s="75">
        <v>763</v>
      </c>
      <c r="K59" s="40"/>
      <c r="L59" s="33"/>
      <c r="M59" s="38"/>
      <c r="N59" s="42">
        <f t="shared" si="0"/>
        <v>-44</v>
      </c>
      <c r="O59" s="52">
        <f t="shared" si="1"/>
        <v>-0.05452292441140025</v>
      </c>
      <c r="P59" s="42">
        <f t="shared" si="2"/>
        <v>-131</v>
      </c>
      <c r="Q59" s="52">
        <f t="shared" si="3"/>
        <v>-0.1465324384787472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>
        <v>1466</v>
      </c>
      <c r="H60" s="38">
        <v>1433</v>
      </c>
      <c r="I60" s="77">
        <v>1313</v>
      </c>
      <c r="J60" s="75">
        <v>1221</v>
      </c>
      <c r="K60" s="40"/>
      <c r="L60" s="33"/>
      <c r="M60" s="38"/>
      <c r="N60" s="42">
        <f t="shared" si="0"/>
        <v>-92</v>
      </c>
      <c r="O60" s="52">
        <f t="shared" si="1"/>
        <v>-0.07006854531607007</v>
      </c>
      <c r="P60" s="42">
        <f t="shared" si="2"/>
        <v>-21</v>
      </c>
      <c r="Q60" s="52">
        <f t="shared" si="3"/>
        <v>-0.016908212560386472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>
        <v>1992</v>
      </c>
      <c r="H61" s="38">
        <v>1981</v>
      </c>
      <c r="I61" s="77">
        <v>1957</v>
      </c>
      <c r="J61" s="75">
        <v>1931</v>
      </c>
      <c r="K61" s="40"/>
      <c r="L61" s="33"/>
      <c r="M61" s="38"/>
      <c r="N61" s="42">
        <f t="shared" si="0"/>
        <v>-26</v>
      </c>
      <c r="O61" s="52">
        <f t="shared" si="1"/>
        <v>-0.013285641287685232</v>
      </c>
      <c r="P61" s="42">
        <f t="shared" si="2"/>
        <v>-299</v>
      </c>
      <c r="Q61" s="52">
        <f t="shared" si="3"/>
        <v>-0.13408071748878925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>
        <v>2237</v>
      </c>
      <c r="H62" s="38">
        <v>2136</v>
      </c>
      <c r="I62" s="77">
        <v>2096</v>
      </c>
      <c r="J62" s="75">
        <v>2101</v>
      </c>
      <c r="K62" s="40"/>
      <c r="L62" s="41"/>
      <c r="M62" s="38"/>
      <c r="N62" s="42">
        <f t="shared" si="0"/>
        <v>5</v>
      </c>
      <c r="O62" s="52">
        <f t="shared" si="1"/>
        <v>0.002385496183206107</v>
      </c>
      <c r="P62" s="42">
        <f t="shared" si="2"/>
        <v>-220</v>
      </c>
      <c r="Q62" s="52">
        <f t="shared" si="3"/>
        <v>-0.0947867298578199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>
        <v>35938</v>
      </c>
      <c r="H63" s="32">
        <v>36133</v>
      </c>
      <c r="I63" s="32">
        <v>35951</v>
      </c>
      <c r="J63" s="32">
        <v>35295</v>
      </c>
      <c r="K63" s="32"/>
      <c r="L63" s="32"/>
      <c r="M63" s="32"/>
      <c r="N63" s="32">
        <f t="shared" si="0"/>
        <v>-656</v>
      </c>
      <c r="O63" s="54">
        <f t="shared" si="1"/>
        <v>-0.018247058496286613</v>
      </c>
      <c r="P63" s="32">
        <f t="shared" si="2"/>
        <v>-3987</v>
      </c>
      <c r="Q63" s="54">
        <f t="shared" si="3"/>
        <v>-0.10149686879486788</v>
      </c>
      <c r="R63" s="44"/>
    </row>
    <row r="64" ht="11.25" customHeight="1" thickBot="1"/>
    <row r="65" spans="1:8" ht="14.25" thickBot="1" thickTop="1">
      <c r="A65" s="49"/>
      <c r="B65" s="81" t="s">
        <v>22</v>
      </c>
      <c r="C65" s="82"/>
      <c r="D65" s="82"/>
      <c r="E65" s="50"/>
      <c r="F65" s="81" t="s">
        <v>21</v>
      </c>
      <c r="G65" s="82"/>
      <c r="H65" s="82"/>
    </row>
    <row r="66" spans="2:18" ht="14.25" thickBot="1" thickTop="1">
      <c r="B66" s="59" t="s">
        <v>18</v>
      </c>
      <c r="C66" s="58" t="s">
        <v>23</v>
      </c>
      <c r="D66" s="58" t="s">
        <v>24</v>
      </c>
      <c r="F66" s="59" t="s">
        <v>18</v>
      </c>
      <c r="G66" s="58" t="s">
        <v>23</v>
      </c>
      <c r="H66" s="58" t="s">
        <v>24</v>
      </c>
      <c r="M66" s="79"/>
      <c r="N66" s="79"/>
      <c r="O66" s="79"/>
      <c r="P66" s="79"/>
      <c r="Q66" s="79"/>
      <c r="R66" s="79"/>
    </row>
    <row r="67" spans="2:20" ht="13.5" customHeight="1" thickBot="1" thickTop="1">
      <c r="B67" s="67" t="str">
        <f>VLOOKUP(1,Hoja1!$A$16:$D$26,2,FALSE)</f>
        <v>Alsasua</v>
      </c>
      <c r="C67" s="68">
        <f>VLOOKUP(1,Hoja1!$A$16:$D$26,4,FALSE)</f>
        <v>-0.07539267015706806</v>
      </c>
      <c r="D67" s="69">
        <f>VLOOKUP(1,Hoja1!$A$16:$D$26,3,FALSE)</f>
        <v>-72</v>
      </c>
      <c r="F67" s="72" t="str">
        <f>VLOOKUP(1,Hoja1!$A$2:$B$12,2,FALSE)</f>
        <v>Santesteban</v>
      </c>
      <c r="G67" s="68">
        <f>VLOOKUP(F67,Hoja1!$B$2:$D$12,3,FALSE)</f>
        <v>-0.1465324384787472</v>
      </c>
      <c r="H67" s="53">
        <f>VLOOKUP(F67,Hoja1!$B$2:$D$12,2,FALSE)</f>
        <v>-131</v>
      </c>
      <c r="M67" s="79"/>
      <c r="N67" s="79"/>
      <c r="O67" s="79"/>
      <c r="P67" s="79"/>
      <c r="Q67" s="79"/>
      <c r="R67" s="79"/>
      <c r="T67" s="50"/>
    </row>
    <row r="68" spans="2:20" ht="13.5" customHeight="1" thickBot="1" thickTop="1">
      <c r="B68" s="69" t="str">
        <f>VLOOKUP(2,Hoja1!$A$16:$D$26,2,FALSE)</f>
        <v>Lodosa</v>
      </c>
      <c r="C68" s="70">
        <f>VLOOKUP(2,Hoja1!$A$16:$D$26,4,FALSE)</f>
        <v>-0.07006854531607007</v>
      </c>
      <c r="D68" s="72">
        <f>VLOOKUP(2,Hoja1!$A$16:$D$26,3,FALSE)</f>
        <v>-92</v>
      </c>
      <c r="F68" s="72" t="str">
        <f>VLOOKUP(2,Hoja1!$A$2:$B$12,2,FALSE)</f>
        <v>Estella</v>
      </c>
      <c r="G68" s="68">
        <f>VLOOKUP(F68,Hoja1!$B$2:$D$12,3,FALSE)</f>
        <v>-0.13408071748878925</v>
      </c>
      <c r="H68" s="53">
        <f>VLOOKUP(F68,Hoja1!$B$2:$D$12,2,FALSE)</f>
        <v>-299</v>
      </c>
      <c r="M68" s="79"/>
      <c r="N68" s="79"/>
      <c r="O68" s="79"/>
      <c r="P68" s="79"/>
      <c r="Q68" s="79"/>
      <c r="R68" s="79"/>
      <c r="T68" s="50"/>
    </row>
    <row r="69" spans="2:20" ht="13.5" customHeight="1" thickBot="1" thickTop="1">
      <c r="B69" s="69" t="str">
        <f>VLOOKUP(3,Hoja1!$A$16:$D$26,2,FALSE)</f>
        <v>Santesteban</v>
      </c>
      <c r="C69" s="71">
        <f>VLOOKUP(3,Hoja1!$A$16:$D$26,4,FALSE)</f>
        <v>-0.05452292441140025</v>
      </c>
      <c r="D69" s="73">
        <f>VLOOKUP(3,Hoja1!$A$16:$D$26,3,FALSE)</f>
        <v>-44</v>
      </c>
      <c r="F69" s="72" t="str">
        <f>VLOOKUP(3,Hoja1!$A$2:$B$12,2,FALSE)</f>
        <v>Tudela</v>
      </c>
      <c r="G69" s="68">
        <f>VLOOKUP(F69,Hoja1!$B$2:$D$12,3,FALSE)</f>
        <v>-0.11778703152885188</v>
      </c>
      <c r="H69" s="53">
        <f>VLOOKUP(F69,Hoja1!$B$2:$D$12,2,FALSE)</f>
        <v>-792</v>
      </c>
      <c r="M69" s="79"/>
      <c r="N69" s="79"/>
      <c r="O69" s="79"/>
      <c r="P69" s="79"/>
      <c r="Q69" s="79"/>
      <c r="R69" s="79"/>
      <c r="T69" s="50"/>
    </row>
    <row r="70" spans="2:20" ht="13.5" customHeight="1" thickBot="1" thickTop="1">
      <c r="B70" s="69" t="str">
        <f>VLOOKUP(4,Hoja1!$A$16:$D$26,2,FALSE)</f>
        <v>Ensanche</v>
      </c>
      <c r="C70" s="68">
        <f>VLOOKUP(4,Hoja1!$A$16:$D$26,4,FALSE)</f>
        <v>-0.02676086491115393</v>
      </c>
      <c r="D70" s="72">
        <f>VLOOKUP(4,Hoja1!$A$16:$D$26,3,FALSE)</f>
        <v>-250</v>
      </c>
      <c r="F70" s="72" t="str">
        <f>VLOOKUP(4,Hoja1!$A$2:$B$12,2,FALSE)</f>
        <v>Rochapea</v>
      </c>
      <c r="G70" s="68">
        <f>VLOOKUP(F70,Hoja1!$B$2:$D$12,3,FALSE)</f>
        <v>-0.10454185071922074</v>
      </c>
      <c r="H70" s="53">
        <f>VLOOKUP(F70,Hoja1!$B$2:$D$12,2,FALSE)</f>
        <v>-923</v>
      </c>
      <c r="M70" s="79"/>
      <c r="N70" s="79"/>
      <c r="O70" s="79"/>
      <c r="P70" s="79"/>
      <c r="Q70" s="79"/>
      <c r="R70" s="79"/>
      <c r="T70" s="50"/>
    </row>
    <row r="71" spans="2:20" ht="13.5" customHeight="1" thickBot="1" thickTop="1">
      <c r="B71" s="69" t="str">
        <f>VLOOKUP(5,Hoja1!$A$16:$D$26,2,FALSE)</f>
        <v>Agencias Pamplona</v>
      </c>
      <c r="C71" s="70">
        <f>VLOOKUP(5,Hoja1!$A$16:$D$26,4,FALSE)</f>
        <v>-0.02039713629609618</v>
      </c>
      <c r="D71" s="73">
        <f>VLOOKUP(5,Hoja1!$A$16:$D$26,3,FALSE)</f>
        <v>-453</v>
      </c>
      <c r="F71" s="72" t="str">
        <f>VLOOKUP(5,Hoja1!$A$2:$B$12,2,FALSE)</f>
        <v>Agencias Pamplona</v>
      </c>
      <c r="G71" s="68">
        <f>VLOOKUP(F71,Hoja1!$B$2:$D$12,3,FALSE)</f>
        <v>-0.0989438807206461</v>
      </c>
      <c r="H71" s="53">
        <f>VLOOKUP(F71,Hoja1!$B$2:$D$12,2,FALSE)</f>
        <v>-2389</v>
      </c>
      <c r="M71" s="79"/>
      <c r="N71" s="79"/>
      <c r="O71" s="79"/>
      <c r="P71" s="79"/>
      <c r="Q71" s="79"/>
      <c r="R71" s="79"/>
      <c r="T71" s="50"/>
    </row>
    <row r="72" spans="2:18" ht="13.5" customHeight="1" thickBot="1" thickTop="1">
      <c r="B72" s="69" t="str">
        <f>VLOOKUP(6,Hoja1!$A$16:$D$26,2,FALSE)</f>
        <v>Rochapea</v>
      </c>
      <c r="C72" s="71">
        <f>VLOOKUP(6,Hoja1!$A$16:$D$26,4,FALSE)</f>
        <v>-0.01825406680740097</v>
      </c>
      <c r="D72" s="69">
        <f>VLOOKUP(6,Hoja1!$A$16:$D$26,3,FALSE)</f>
        <v>-147</v>
      </c>
      <c r="F72" s="72" t="str">
        <f>VLOOKUP(6,Hoja1!$A$2:$B$12,2,FALSE)</f>
        <v>Ensanche</v>
      </c>
      <c r="G72" s="68">
        <f>VLOOKUP(F72,Hoja1!$B$2:$D$12,3,FALSE)</f>
        <v>-0.09783687239531653</v>
      </c>
      <c r="H72" s="53">
        <f>VLOOKUP(F72,Hoja1!$B$2:$D$12,2,FALSE)</f>
        <v>-986</v>
      </c>
      <c r="M72" s="79"/>
      <c r="N72" s="79"/>
      <c r="O72" s="79"/>
      <c r="P72" s="79"/>
      <c r="Q72" s="79"/>
      <c r="R72" s="79"/>
    </row>
    <row r="73" spans="2:20" ht="13.5" customHeight="1" thickBot="1" thickTop="1">
      <c r="B73" s="69" t="str">
        <f>VLOOKUP(7,Hoja1!$A$16:$D$26,2,FALSE)</f>
        <v>Estella</v>
      </c>
      <c r="C73" s="71">
        <f>VLOOKUP(7,Hoja1!$A$16:$D$26,4,FALSE)</f>
        <v>-0.013285641287685232</v>
      </c>
      <c r="D73" s="69">
        <f>VLOOKUP(7,Hoja1!$A$16:$D$26,3,FALSE)</f>
        <v>-26</v>
      </c>
      <c r="F73" s="72" t="str">
        <f>VLOOKUP(7,Hoja1!$A$2:$B$12,2,FALSE)</f>
        <v>Tafalla</v>
      </c>
      <c r="G73" s="68">
        <f>VLOOKUP(F73,Hoja1!$B$2:$D$12,3,FALSE)</f>
        <v>-0.0947867298578199</v>
      </c>
      <c r="H73" s="53">
        <f>VLOOKUP(F73,Hoja1!$B$2:$D$12,2,FALSE)</f>
        <v>-220</v>
      </c>
      <c r="M73" s="79"/>
      <c r="N73" s="79"/>
      <c r="O73" s="79"/>
      <c r="P73" s="79"/>
      <c r="Q73" s="79"/>
      <c r="R73" s="79"/>
      <c r="T73" s="50"/>
    </row>
    <row r="74" spans="2:20" ht="13.5" customHeight="1" thickBot="1" thickTop="1">
      <c r="B74" s="69" t="str">
        <f>VLOOKUP(8,Hoja1!$A$16:$D$26,2,FALSE)</f>
        <v>Yamaguchi</v>
      </c>
      <c r="C74" s="71">
        <f>VLOOKUP(8,Hoja1!$A$16:$D$26,4,FALSE)</f>
        <v>-0.011632737847943497</v>
      </c>
      <c r="D74" s="69">
        <f>VLOOKUP(8,Hoja1!$A$16:$D$26,3,FALSE)</f>
        <v>-56</v>
      </c>
      <c r="F74" s="72" t="str">
        <f>VLOOKUP(8,Hoja1!$A$2:$B$12,2,FALSE)</f>
        <v>Yamaguchi</v>
      </c>
      <c r="G74" s="68">
        <f>VLOOKUP(F74,Hoja1!$B$2:$D$12,3,FALSE)</f>
        <v>-0.09163802978235967</v>
      </c>
      <c r="H74" s="53">
        <f>VLOOKUP(F74,Hoja1!$B$2:$D$12,2,FALSE)</f>
        <v>-480</v>
      </c>
      <c r="M74" s="79"/>
      <c r="N74" s="79"/>
      <c r="O74" s="79"/>
      <c r="P74" s="79"/>
      <c r="Q74" s="79"/>
      <c r="R74" s="79"/>
      <c r="T74" s="50"/>
    </row>
    <row r="75" spans="2:20" ht="16.5" customHeight="1" thickBot="1" thickTop="1">
      <c r="B75" s="69" t="str">
        <f>VLOOKUP(9,Hoja1!$A$16:$D$26,2,FALSE)</f>
        <v>Tafalla</v>
      </c>
      <c r="C75" s="71">
        <f>VLOOKUP(9,Hoja1!$A$16:$D$26,4,FALSE)</f>
        <v>0.002385496183206107</v>
      </c>
      <c r="D75" s="72">
        <f>VLOOKUP(9,Hoja1!$A$16:$D$26,3,FALSE)</f>
        <v>5</v>
      </c>
      <c r="F75" s="72" t="str">
        <f>VLOOKUP(9,Hoja1!$A$2:$B$12,2,FALSE)</f>
        <v>Alsasua</v>
      </c>
      <c r="G75" s="68">
        <f>VLOOKUP(F75,Hoja1!$B$2:$D$12,3,FALSE)</f>
        <v>-0.08116545265348596</v>
      </c>
      <c r="H75" s="53">
        <f>VLOOKUP(F75,Hoja1!$B$2:$D$12,2,FALSE)</f>
        <v>-78</v>
      </c>
      <c r="M75" s="79"/>
      <c r="N75" s="79"/>
      <c r="O75" s="79"/>
      <c r="P75" s="79"/>
      <c r="Q75" s="79"/>
      <c r="R75" s="79"/>
      <c r="T75" s="50"/>
    </row>
    <row r="76" spans="2:18" ht="13.5" customHeight="1" thickBot="1" thickTop="1">
      <c r="B76" s="72" t="str">
        <f>VLOOKUP(10,Hoja1!$A$16:$D$26,2,FALSE)</f>
        <v>Tudela</v>
      </c>
      <c r="C76" s="68">
        <f>VLOOKUP(10,Hoja1!$A$16:$D$26,4,FALSE)</f>
        <v>0.002704530087897228</v>
      </c>
      <c r="D76" s="72">
        <f>VLOOKUP(10,Hoja1!$A$16:$D$26,3,FALSE)</f>
        <v>16</v>
      </c>
      <c r="F76" s="72" t="str">
        <f>VLOOKUP(10,Hoja1!$A$2:$B$12,2,FALSE)</f>
        <v>Aoiz</v>
      </c>
      <c r="G76" s="68">
        <f>VLOOKUP(F76,Hoja1!$B$2:$D$12,3,FALSE)</f>
        <v>-0.07450980392156863</v>
      </c>
      <c r="H76" s="53">
        <f>VLOOKUP(F76,Hoja1!$B$2:$D$12,2,FALSE)</f>
        <v>-57</v>
      </c>
      <c r="M76" s="79"/>
      <c r="N76" s="79"/>
      <c r="O76" s="79"/>
      <c r="P76" s="79"/>
      <c r="Q76" s="79"/>
      <c r="R76" s="79"/>
    </row>
    <row r="77" spans="2:18" ht="13.5" customHeight="1" thickBot="1" thickTop="1">
      <c r="B77" s="72" t="str">
        <f>VLOOKUP(11,Hoja1!$A$16:$D$26,2,FALSE)</f>
        <v>Aoiz</v>
      </c>
      <c r="C77" s="68">
        <f>VLOOKUP(11,Hoja1!$A$16:$D$26,4,FALSE)</f>
        <v>0.014326647564469915</v>
      </c>
      <c r="D77" s="72">
        <f>VLOOKUP(11,Hoja1!$A$16:$D$26,3,FALSE)</f>
        <v>10</v>
      </c>
      <c r="F77" s="72" t="str">
        <f>VLOOKUP(11,Hoja1!$A$2:$B$12,2,FALSE)</f>
        <v>Lodosa</v>
      </c>
      <c r="G77" s="68">
        <f>VLOOKUP(F77,Hoja1!$B$2:$D$12,3,FALSE)</f>
        <v>-0.016908212560386472</v>
      </c>
      <c r="H77" s="53">
        <f>VLOOKUP(F77,Hoja1!$B$2:$D$12,2,FALSE)</f>
        <v>-21</v>
      </c>
      <c r="J77" s="7"/>
      <c r="K77" s="7"/>
      <c r="M77" s="79"/>
      <c r="N77" s="79"/>
      <c r="O77" s="79"/>
      <c r="P77" s="79"/>
      <c r="Q77" s="79"/>
      <c r="R77" s="79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35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74">
        <v>0.5883226564404939</v>
      </c>
      <c r="C91" s="74">
        <v>0.5882783395423098</v>
      </c>
      <c r="D91" s="74">
        <v>0.587479317300936</v>
      </c>
      <c r="E91" s="74">
        <v>0.5914083817253201</v>
      </c>
      <c r="F91" s="74">
        <v>0.5976684881602914</v>
      </c>
      <c r="G91" s="74">
        <v>0.599021634979071</v>
      </c>
      <c r="H91" s="74">
        <v>0.6031156895419886</v>
      </c>
      <c r="I91" s="74">
        <v>0.6070335998354713</v>
      </c>
      <c r="J91" s="74">
        <v>0.614658113130696</v>
      </c>
      <c r="K91" s="74">
        <v>0.6037574943146579</v>
      </c>
      <c r="L91" s="74">
        <v>0.5949994860725666</v>
      </c>
      <c r="M91" s="74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>
        <f>G52/$G$63</f>
        <v>0.022817073849407312</v>
      </c>
      <c r="H103" s="51">
        <f>H52/$H$63</f>
        <v>0.023856308637533557</v>
      </c>
      <c r="I103" s="51">
        <f>I52/$I$63</f>
        <v>0.026563934243831883</v>
      </c>
      <c r="J103" s="51">
        <f aca="true" t="shared" si="4" ref="J103:J114">J52/$J$63</f>
        <v>0.02501770789063607</v>
      </c>
      <c r="K103" s="51"/>
      <c r="L103" s="51"/>
      <c r="M103" s="51"/>
    </row>
    <row r="104" spans="1:13" ht="11.25" customHeight="1">
      <c r="A104" s="21" t="s">
        <v>1</v>
      </c>
      <c r="B104" s="51">
        <f aca="true" t="shared" si="5" ref="B104:B114">B53/$B$63</f>
        <v>0.022719557732408708</v>
      </c>
      <c r="C104" s="51">
        <f aca="true" t="shared" si="6" ref="C104:C113">C53/$C$63</f>
        <v>0.02200392927308448</v>
      </c>
      <c r="D104" s="51">
        <f aca="true" t="shared" si="7" ref="D104:D113">D53/$D$63</f>
        <v>0.020766733576190122</v>
      </c>
      <c r="E104" s="51">
        <f aca="true" t="shared" si="8" ref="E104:E114">E53/$E$63</f>
        <v>0.02069055374592834</v>
      </c>
      <c r="F104" s="51">
        <f aca="true" t="shared" si="9" ref="F104:F114">F53/$F$63</f>
        <v>0.019933103091942458</v>
      </c>
      <c r="G104" s="51">
        <f aca="true" t="shared" si="10" ref="G104:G114">G53/$G$63</f>
        <v>0.018726695976403807</v>
      </c>
      <c r="H104" s="51">
        <f aca="true" t="shared" si="11" ref="H104:H114">H53/$H$63</f>
        <v>0.01834887775717488</v>
      </c>
      <c r="I104" s="51">
        <f aca="true" t="shared" si="12" ref="I104:I114">I53/$I$63</f>
        <v>0.019415315290256183</v>
      </c>
      <c r="J104" s="51">
        <f t="shared" si="4"/>
        <v>0.02005949851253719</v>
      </c>
      <c r="K104" s="51"/>
      <c r="L104" s="51"/>
      <c r="M104" s="51"/>
    </row>
    <row r="105" spans="1:13" ht="12.75">
      <c r="A105" s="22" t="s">
        <v>2</v>
      </c>
      <c r="B105" s="74">
        <f t="shared" si="5"/>
        <v>0.5934726734881917</v>
      </c>
      <c r="C105" s="74">
        <f t="shared" si="6"/>
        <v>0.593614931237721</v>
      </c>
      <c r="D105" s="74">
        <f t="shared" si="7"/>
        <v>0.5922731891061384</v>
      </c>
      <c r="E105" s="74">
        <f t="shared" si="8"/>
        <v>0.6021368078175896</v>
      </c>
      <c r="F105" s="74">
        <f t="shared" si="9"/>
        <v>0.6062872216028065</v>
      </c>
      <c r="G105" s="74">
        <f t="shared" si="10"/>
        <v>0.6054037509043353</v>
      </c>
      <c r="H105" s="74">
        <f t="shared" si="11"/>
        <v>0.6131514128359118</v>
      </c>
      <c r="I105" s="74">
        <f t="shared" si="12"/>
        <v>0.6177575032683374</v>
      </c>
      <c r="J105" s="74">
        <f t="shared" si="4"/>
        <v>0.6164045898852528</v>
      </c>
      <c r="K105" s="51"/>
      <c r="L105" s="51"/>
      <c r="M105" s="51"/>
    </row>
    <row r="106" spans="1:13" ht="13.5" customHeight="1">
      <c r="A106" s="23" t="s">
        <v>8</v>
      </c>
      <c r="B106" s="51">
        <f t="shared" si="5"/>
        <v>0.24768439939867126</v>
      </c>
      <c r="C106" s="51">
        <f t="shared" si="6"/>
        <v>0.24641453831041257</v>
      </c>
      <c r="D106" s="51">
        <f t="shared" si="7"/>
        <v>0.2471935172106163</v>
      </c>
      <c r="E106" s="51">
        <f t="shared" si="8"/>
        <v>0.25130944625407164</v>
      </c>
      <c r="F106" s="51">
        <f t="shared" si="9"/>
        <v>0.2525494248497539</v>
      </c>
      <c r="G106" s="51">
        <f t="shared" si="10"/>
        <v>0.2546608047192387</v>
      </c>
      <c r="H106" s="51">
        <f t="shared" si="11"/>
        <v>0.25693963966457256</v>
      </c>
      <c r="I106" s="51">
        <f t="shared" si="12"/>
        <v>0.2598536897443743</v>
      </c>
      <c r="J106" s="51">
        <f t="shared" si="4"/>
        <v>0.25760022666100013</v>
      </c>
      <c r="K106" s="51"/>
      <c r="L106" s="51"/>
      <c r="M106" s="51"/>
    </row>
    <row r="107" spans="1:13" ht="12.75">
      <c r="A107" s="23" t="s">
        <v>9</v>
      </c>
      <c r="B107" s="51">
        <f t="shared" si="5"/>
        <v>0.12683671984869793</v>
      </c>
      <c r="C107" s="51">
        <f t="shared" si="6"/>
        <v>0.12833988212180747</v>
      </c>
      <c r="D107" s="51">
        <f t="shared" si="7"/>
        <v>0.12668203107575646</v>
      </c>
      <c r="E107" s="51">
        <f t="shared" si="8"/>
        <v>0.12943322475570032</v>
      </c>
      <c r="F107" s="51">
        <f t="shared" si="9"/>
        <v>0.12955157316509394</v>
      </c>
      <c r="G107" s="51">
        <f t="shared" si="10"/>
        <v>0.12716344816072125</v>
      </c>
      <c r="H107" s="51">
        <f t="shared" si="11"/>
        <v>0.13140342623086929</v>
      </c>
      <c r="I107" s="51">
        <f t="shared" si="12"/>
        <v>0.13390448109927403</v>
      </c>
      <c r="J107" s="51">
        <f t="shared" si="4"/>
        <v>0.13480662983425415</v>
      </c>
      <c r="K107" s="51"/>
      <c r="L107" s="51"/>
      <c r="M107" s="51"/>
    </row>
    <row r="108" spans="1:13" ht="12.75">
      <c r="A108" s="23" t="s">
        <v>10</v>
      </c>
      <c r="B108" s="51">
        <f t="shared" si="5"/>
        <v>0.21895155424082247</v>
      </c>
      <c r="C108" s="51">
        <f t="shared" si="6"/>
        <v>0.21886051080550098</v>
      </c>
      <c r="D108" s="51">
        <f t="shared" si="7"/>
        <v>0.21839764081976556</v>
      </c>
      <c r="E108" s="51">
        <f t="shared" si="8"/>
        <v>0.22139413680781758</v>
      </c>
      <c r="F108" s="51">
        <f t="shared" si="9"/>
        <v>0.22418622358795856</v>
      </c>
      <c r="G108" s="51">
        <f t="shared" si="10"/>
        <v>0.22357949802437532</v>
      </c>
      <c r="H108" s="51">
        <f t="shared" si="11"/>
        <v>0.22480834694046994</v>
      </c>
      <c r="I108" s="51">
        <f t="shared" si="12"/>
        <v>0.22399933242468917</v>
      </c>
      <c r="J108" s="51">
        <f t="shared" si="4"/>
        <v>0.2239977333899986</v>
      </c>
      <c r="K108" s="51"/>
      <c r="L108" s="51"/>
      <c r="M108" s="51"/>
    </row>
    <row r="109" spans="1:13" ht="12.75">
      <c r="A109" s="21" t="s">
        <v>3</v>
      </c>
      <c r="B109" s="51">
        <f t="shared" si="5"/>
        <v>0.17545220891324378</v>
      </c>
      <c r="C109" s="51">
        <f t="shared" si="6"/>
        <v>0.1757121807465619</v>
      </c>
      <c r="D109" s="51">
        <f t="shared" si="7"/>
        <v>0.1801105246202265</v>
      </c>
      <c r="E109" s="51">
        <f t="shared" si="8"/>
        <v>0.17581758957654722</v>
      </c>
      <c r="F109" s="51">
        <f t="shared" si="9"/>
        <v>0.17404073640986592</v>
      </c>
      <c r="G109" s="51">
        <f t="shared" si="10"/>
        <v>0.17327063275641383</v>
      </c>
      <c r="H109" s="51">
        <f t="shared" si="11"/>
        <v>0.16890377217502006</v>
      </c>
      <c r="I109" s="51">
        <f t="shared" si="12"/>
        <v>0.1645573141219994</v>
      </c>
      <c r="J109" s="51">
        <f t="shared" si="4"/>
        <v>0.16806913160504322</v>
      </c>
      <c r="K109" s="51"/>
      <c r="L109" s="51"/>
      <c r="M109" s="51"/>
    </row>
    <row r="110" spans="1:13" ht="12.75">
      <c r="A110" s="21" t="s">
        <v>4</v>
      </c>
      <c r="B110" s="51">
        <f t="shared" si="5"/>
        <v>0.023519712914019688</v>
      </c>
      <c r="C110" s="51">
        <f t="shared" si="6"/>
        <v>0.02330550098231827</v>
      </c>
      <c r="D110" s="51">
        <f t="shared" si="7"/>
        <v>0.022699675364904717</v>
      </c>
      <c r="E110" s="51">
        <f t="shared" si="8"/>
        <v>0.0232442996742671</v>
      </c>
      <c r="F110" s="51">
        <f t="shared" si="9"/>
        <v>0.02210861229706578</v>
      </c>
      <c r="G110" s="51">
        <f t="shared" si="10"/>
        <v>0.021314486059324393</v>
      </c>
      <c r="H110" s="51">
        <f t="shared" si="11"/>
        <v>0.022140425649683115</v>
      </c>
      <c r="I110" s="51">
        <f t="shared" si="12"/>
        <v>0.022447219826986733</v>
      </c>
      <c r="J110" s="51">
        <f t="shared" si="4"/>
        <v>0.02161779288851112</v>
      </c>
      <c r="K110" s="51"/>
      <c r="L110" s="51"/>
      <c r="M110" s="51"/>
    </row>
    <row r="111" spans="1:13" ht="12.75">
      <c r="A111" s="21" t="s">
        <v>5</v>
      </c>
      <c r="B111" s="51">
        <f t="shared" si="5"/>
        <v>0.03838320159061151</v>
      </c>
      <c r="C111" s="51">
        <f t="shared" si="6"/>
        <v>0.03899803536345776</v>
      </c>
      <c r="D111" s="51">
        <f t="shared" si="7"/>
        <v>0.03957574405868213</v>
      </c>
      <c r="E111" s="51">
        <f t="shared" si="8"/>
        <v>0.0349185667752443</v>
      </c>
      <c r="F111" s="51">
        <f t="shared" si="9"/>
        <v>0.0350800859326136</v>
      </c>
      <c r="G111" s="51">
        <f t="shared" si="10"/>
        <v>0.04079247593076966</v>
      </c>
      <c r="H111" s="51">
        <f t="shared" si="11"/>
        <v>0.03965903744499488</v>
      </c>
      <c r="I111" s="51">
        <f t="shared" si="12"/>
        <v>0.03652193263052488</v>
      </c>
      <c r="J111" s="51">
        <f t="shared" si="4"/>
        <v>0.03459413514662133</v>
      </c>
      <c r="K111" s="51"/>
      <c r="L111" s="51"/>
      <c r="M111" s="51"/>
    </row>
    <row r="112" spans="1:13" ht="12.75">
      <c r="A112" s="21" t="s">
        <v>6</v>
      </c>
      <c r="B112" s="51">
        <f t="shared" si="5"/>
        <v>0.05809611561030018</v>
      </c>
      <c r="C112" s="51">
        <f t="shared" si="6"/>
        <v>0.05783398821218075</v>
      </c>
      <c r="D112" s="51">
        <f t="shared" si="7"/>
        <v>0.05694743885212995</v>
      </c>
      <c r="E112" s="51">
        <f t="shared" si="8"/>
        <v>0.05704234527687296</v>
      </c>
      <c r="F112" s="51">
        <f t="shared" si="9"/>
        <v>0.055937780436733475</v>
      </c>
      <c r="G112" s="51">
        <f t="shared" si="10"/>
        <v>0.05542879403416996</v>
      </c>
      <c r="H112" s="51">
        <f t="shared" si="11"/>
        <v>0.054825229015027815</v>
      </c>
      <c r="I112" s="51">
        <f t="shared" si="12"/>
        <v>0.054435203471391615</v>
      </c>
      <c r="J112" s="51">
        <f t="shared" si="4"/>
        <v>0.05471029890919394</v>
      </c>
      <c r="K112" s="51"/>
      <c r="L112" s="51"/>
      <c r="M112" s="51"/>
    </row>
    <row r="113" spans="1:13" ht="12.75">
      <c r="A113" s="21" t="s">
        <v>7</v>
      </c>
      <c r="B113" s="51">
        <f t="shared" si="5"/>
        <v>0.06398816740216284</v>
      </c>
      <c r="C113" s="51">
        <f t="shared" si="6"/>
        <v>0.0649312377210216</v>
      </c>
      <c r="D113" s="51">
        <f t="shared" si="7"/>
        <v>0.06336579684286174</v>
      </c>
      <c r="E113" s="51">
        <f t="shared" si="8"/>
        <v>0.0617328990228013</v>
      </c>
      <c r="F113" s="51">
        <f t="shared" si="9"/>
        <v>0.06254588964729557</v>
      </c>
      <c r="G113" s="51">
        <f t="shared" si="10"/>
        <v>0.0622460904891758</v>
      </c>
      <c r="H113" s="51">
        <f t="shared" si="11"/>
        <v>0.059114936484653914</v>
      </c>
      <c r="I113" s="51">
        <f t="shared" si="12"/>
        <v>0.058301577146671855</v>
      </c>
      <c r="J113" s="51">
        <f t="shared" si="4"/>
        <v>0.05952684516220428</v>
      </c>
      <c r="K113" s="51"/>
      <c r="L113" s="51"/>
      <c r="M113" s="51"/>
    </row>
    <row r="114" spans="1:13" ht="12.75">
      <c r="A114" s="24" t="s">
        <v>13</v>
      </c>
      <c r="B114" s="54">
        <f t="shared" si="5"/>
        <v>1</v>
      </c>
      <c r="C114" s="54">
        <f>C63/$C$63</f>
        <v>1</v>
      </c>
      <c r="D114" s="54">
        <f>D63/$D$63</f>
        <v>1</v>
      </c>
      <c r="E114" s="54">
        <f t="shared" si="8"/>
        <v>1</v>
      </c>
      <c r="F114" s="54">
        <f t="shared" si="9"/>
        <v>1</v>
      </c>
      <c r="G114" s="54">
        <f t="shared" si="10"/>
        <v>1</v>
      </c>
      <c r="H114" s="54">
        <f t="shared" si="11"/>
        <v>1</v>
      </c>
      <c r="I114" s="54">
        <f t="shared" si="12"/>
        <v>1</v>
      </c>
      <c r="J114" s="54">
        <f t="shared" si="4"/>
        <v>1</v>
      </c>
      <c r="K114" s="54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35</v>
      </c>
      <c r="E122" s="55"/>
      <c r="F122" s="55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&amp;RInf. 107/2017. Informe Observatorio de la Realidad Social</oddFooter>
  </headerFooter>
  <rowBreaks count="3" manualBreakCount="3">
    <brk id="30" max="255" man="1"/>
    <brk id="78" max="16" man="1"/>
    <brk id="11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H14" sqref="H14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0" t="s">
        <v>19</v>
      </c>
      <c r="B1" s="60" t="s">
        <v>28</v>
      </c>
      <c r="C1" s="56" t="s">
        <v>20</v>
      </c>
      <c r="D1" s="57" t="s">
        <v>16</v>
      </c>
    </row>
    <row r="2" spans="1:4" ht="14.25" thickBot="1" thickTop="1">
      <c r="A2" s="61">
        <f>RANK(D2,Agencias!$Q$52:$Q$62,1)</f>
        <v>9</v>
      </c>
      <c r="B2" s="62" t="s">
        <v>0</v>
      </c>
      <c r="C2" s="63">
        <f>Agencias!P52</f>
        <v>-78</v>
      </c>
      <c r="D2" s="64">
        <f>Agencias!Q52</f>
        <v>-0.08116545265348596</v>
      </c>
    </row>
    <row r="3" spans="1:4" ht="14.25" thickBot="1" thickTop="1">
      <c r="A3" s="61">
        <f>RANK(D3,Agencias!$Q$52:$Q$62,1)</f>
        <v>10</v>
      </c>
      <c r="B3" s="62" t="s">
        <v>1</v>
      </c>
      <c r="C3" s="63">
        <f>Agencias!P53</f>
        <v>-57</v>
      </c>
      <c r="D3" s="64">
        <f>Agencias!Q53</f>
        <v>-0.07450980392156863</v>
      </c>
    </row>
    <row r="4" spans="1:4" ht="14.25" thickBot="1" thickTop="1">
      <c r="A4" s="61">
        <f>RANK(D4,Agencias!$Q$52:$Q$62,1)</f>
        <v>5</v>
      </c>
      <c r="B4" s="66" t="s">
        <v>31</v>
      </c>
      <c r="C4" s="63">
        <f>Agencias!P54</f>
        <v>-2389</v>
      </c>
      <c r="D4" s="64">
        <f>Agencias!Q54</f>
        <v>-0.0989438807206461</v>
      </c>
    </row>
    <row r="5" spans="1:4" ht="14.25" thickBot="1" thickTop="1">
      <c r="A5" s="61">
        <f>RANK(D5,Agencias!$Q$52:$Q$62,1)</f>
        <v>6</v>
      </c>
      <c r="B5" s="65" t="s">
        <v>8</v>
      </c>
      <c r="C5" s="63">
        <f>Agencias!P55</f>
        <v>-986</v>
      </c>
      <c r="D5" s="64">
        <f>Agencias!Q55</f>
        <v>-0.09783687239531653</v>
      </c>
    </row>
    <row r="6" spans="1:4" ht="14.25" thickBot="1" thickTop="1">
      <c r="A6" s="61">
        <f>RANK(D6,Agencias!$Q$52:$Q$62,1)</f>
        <v>8</v>
      </c>
      <c r="B6" s="65" t="s">
        <v>9</v>
      </c>
      <c r="C6" s="63">
        <f>Agencias!P56</f>
        <v>-480</v>
      </c>
      <c r="D6" s="64">
        <f>Agencias!Q56</f>
        <v>-0.09163802978235967</v>
      </c>
    </row>
    <row r="7" spans="1:4" ht="14.25" thickBot="1" thickTop="1">
      <c r="A7" s="61">
        <f>RANK(D7,Agencias!$Q$52:$Q$62,1)</f>
        <v>4</v>
      </c>
      <c r="B7" s="65" t="s">
        <v>10</v>
      </c>
      <c r="C7" s="63">
        <f>Agencias!P57</f>
        <v>-923</v>
      </c>
      <c r="D7" s="64">
        <f>Agencias!Q57</f>
        <v>-0.10454185071922074</v>
      </c>
    </row>
    <row r="8" spans="1:4" ht="14.25" thickBot="1" thickTop="1">
      <c r="A8" s="61">
        <f>RANK(D8,Agencias!$Q$52:$Q$62,1)</f>
        <v>3</v>
      </c>
      <c r="B8" s="66" t="s">
        <v>3</v>
      </c>
      <c r="C8" s="63">
        <f>Agencias!P58</f>
        <v>-792</v>
      </c>
      <c r="D8" s="64">
        <f>Agencias!Q58</f>
        <v>-0.11778703152885188</v>
      </c>
    </row>
    <row r="9" spans="1:4" ht="14.25" thickBot="1" thickTop="1">
      <c r="A9" s="61">
        <f>RANK(D9,Agencias!$Q$52:$Q$62,1)</f>
        <v>1</v>
      </c>
      <c r="B9" s="66" t="s">
        <v>4</v>
      </c>
      <c r="C9" s="63">
        <f>Agencias!P59</f>
        <v>-131</v>
      </c>
      <c r="D9" s="64">
        <f>Agencias!Q59</f>
        <v>-0.1465324384787472</v>
      </c>
    </row>
    <row r="10" spans="1:4" ht="14.25" thickBot="1" thickTop="1">
      <c r="A10" s="61">
        <f>RANK(D10,Agencias!$Q$52:$Q$62,1)</f>
        <v>11</v>
      </c>
      <c r="B10" s="66" t="s">
        <v>5</v>
      </c>
      <c r="C10" s="63">
        <f>Agencias!P60</f>
        <v>-21</v>
      </c>
      <c r="D10" s="64">
        <f>Agencias!Q60</f>
        <v>-0.016908212560386472</v>
      </c>
    </row>
    <row r="11" spans="1:4" ht="14.25" thickBot="1" thickTop="1">
      <c r="A11" s="61">
        <f>RANK(D11,Agencias!$Q$52:$Q$62,1)</f>
        <v>2</v>
      </c>
      <c r="B11" s="66" t="s">
        <v>6</v>
      </c>
      <c r="C11" s="63">
        <f>Agencias!P61</f>
        <v>-299</v>
      </c>
      <c r="D11" s="64">
        <f>Agencias!Q61</f>
        <v>-0.13408071748878925</v>
      </c>
    </row>
    <row r="12" spans="1:4" ht="14.25" thickBot="1" thickTop="1">
      <c r="A12" s="61">
        <f>RANK(D12,Agencias!$Q$52:$Q$62,1)</f>
        <v>7</v>
      </c>
      <c r="B12" s="62" t="s">
        <v>7</v>
      </c>
      <c r="C12" s="63">
        <f>Agencias!P62</f>
        <v>-220</v>
      </c>
      <c r="D12" s="64">
        <f>Agencias!Q62</f>
        <v>-0.0947867298578199</v>
      </c>
    </row>
    <row r="13" ht="13.5" thickTop="1"/>
    <row r="15" spans="1:4" ht="13.5" thickBot="1">
      <c r="A15" s="60" t="s">
        <v>19</v>
      </c>
      <c r="B15" s="60" t="s">
        <v>17</v>
      </c>
      <c r="C15" s="56" t="s">
        <v>25</v>
      </c>
      <c r="D15" s="57" t="s">
        <v>16</v>
      </c>
    </row>
    <row r="16" spans="1:4" ht="14.25" thickBot="1" thickTop="1">
      <c r="A16" s="61">
        <f>RANK(Agencias!O52,Agencias!$O$52:$O$62,1)</f>
        <v>1</v>
      </c>
      <c r="B16" s="62" t="s">
        <v>0</v>
      </c>
      <c r="C16" s="63">
        <f>Agencias!N52</f>
        <v>-72</v>
      </c>
      <c r="D16" s="64">
        <f>Agencias!O52</f>
        <v>-0.07539267015706806</v>
      </c>
    </row>
    <row r="17" spans="1:4" ht="14.25" thickBot="1" thickTop="1">
      <c r="A17" s="61">
        <f>RANK(Agencias!O53,Agencias!$O$52:$O$62,1)</f>
        <v>11</v>
      </c>
      <c r="B17" s="62" t="s">
        <v>1</v>
      </c>
      <c r="C17" s="63">
        <f>Agencias!N53</f>
        <v>10</v>
      </c>
      <c r="D17" s="64">
        <f>Agencias!O53</f>
        <v>0.014326647564469915</v>
      </c>
    </row>
    <row r="18" spans="1:4" ht="14.25" thickBot="1" thickTop="1">
      <c r="A18" s="61">
        <f>RANK(Agencias!O54,Agencias!$O$52:$O$62,1)</f>
        <v>5</v>
      </c>
      <c r="B18" s="66" t="s">
        <v>31</v>
      </c>
      <c r="C18" s="63">
        <f>Agencias!N54</f>
        <v>-453</v>
      </c>
      <c r="D18" s="64">
        <f>Agencias!O54</f>
        <v>-0.02039713629609618</v>
      </c>
    </row>
    <row r="19" spans="1:4" ht="14.25" thickBot="1" thickTop="1">
      <c r="A19" s="61">
        <f>RANK(Agencias!O55,Agencias!$O$52:$O$62,1)</f>
        <v>4</v>
      </c>
      <c r="B19" s="65" t="s">
        <v>8</v>
      </c>
      <c r="C19" s="63">
        <f>Agencias!N55</f>
        <v>-250</v>
      </c>
      <c r="D19" s="64">
        <f>Agencias!O55</f>
        <v>-0.02676086491115393</v>
      </c>
    </row>
    <row r="20" spans="1:4" ht="14.25" thickBot="1" thickTop="1">
      <c r="A20" s="61">
        <f>RANK(Agencias!O56,Agencias!$O$52:$O$62,1)</f>
        <v>8</v>
      </c>
      <c r="B20" s="65" t="s">
        <v>9</v>
      </c>
      <c r="C20" s="63">
        <f>Agencias!N56</f>
        <v>-56</v>
      </c>
      <c r="D20" s="64">
        <f>Agencias!O56</f>
        <v>-0.011632737847943497</v>
      </c>
    </row>
    <row r="21" spans="1:4" ht="14.25" thickBot="1" thickTop="1">
      <c r="A21" s="61">
        <f>RANK(Agencias!O57,Agencias!$O$52:$O$62,1)</f>
        <v>6</v>
      </c>
      <c r="B21" s="65" t="s">
        <v>10</v>
      </c>
      <c r="C21" s="63">
        <f>Agencias!N57</f>
        <v>-147</v>
      </c>
      <c r="D21" s="64">
        <f>Agencias!O57</f>
        <v>-0.01825406680740097</v>
      </c>
    </row>
    <row r="22" spans="1:4" ht="14.25" thickBot="1" thickTop="1">
      <c r="A22" s="61">
        <f>RANK(Agencias!O58,Agencias!$O$52:$O$62,1)</f>
        <v>10</v>
      </c>
      <c r="B22" s="66" t="s">
        <v>3</v>
      </c>
      <c r="C22" s="63">
        <f>Agencias!N58</f>
        <v>16</v>
      </c>
      <c r="D22" s="64">
        <f>Agencias!O58</f>
        <v>0.002704530087897228</v>
      </c>
    </row>
    <row r="23" spans="1:4" ht="14.25" thickBot="1" thickTop="1">
      <c r="A23" s="61">
        <f>RANK(Agencias!O59,Agencias!$O$52:$O$62,1)</f>
        <v>3</v>
      </c>
      <c r="B23" s="66" t="s">
        <v>4</v>
      </c>
      <c r="C23" s="63">
        <f>Agencias!N59</f>
        <v>-44</v>
      </c>
      <c r="D23" s="64">
        <f>Agencias!O59</f>
        <v>-0.05452292441140025</v>
      </c>
    </row>
    <row r="24" spans="1:4" ht="14.25" thickBot="1" thickTop="1">
      <c r="A24" s="61">
        <f>RANK(Agencias!O60,Agencias!$O$52:$O$62,1)</f>
        <v>2</v>
      </c>
      <c r="B24" s="66" t="s">
        <v>5</v>
      </c>
      <c r="C24" s="63">
        <f>Agencias!N60</f>
        <v>-92</v>
      </c>
      <c r="D24" s="64">
        <f>Agencias!O60</f>
        <v>-0.07006854531607007</v>
      </c>
    </row>
    <row r="25" spans="1:4" ht="14.25" thickBot="1" thickTop="1">
      <c r="A25" s="61">
        <f>RANK(Agencias!O61,Agencias!$O$52:$O$62,1)</f>
        <v>7</v>
      </c>
      <c r="B25" s="66" t="s">
        <v>6</v>
      </c>
      <c r="C25" s="63">
        <f>Agencias!N61</f>
        <v>-26</v>
      </c>
      <c r="D25" s="64">
        <f>Agencias!O61</f>
        <v>-0.013285641287685232</v>
      </c>
    </row>
    <row r="26" spans="1:4" ht="14.25" thickBot="1" thickTop="1">
      <c r="A26" s="61">
        <f>RANK(Agencias!O62,Agencias!$O$52:$O$62,1)</f>
        <v>9</v>
      </c>
      <c r="B26" s="62" t="s">
        <v>7</v>
      </c>
      <c r="C26" s="63">
        <f>Agencias!N62</f>
        <v>5</v>
      </c>
      <c r="D26" s="64">
        <f>Agencias!O62</f>
        <v>0.002385496183206107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N222737</cp:lastModifiedBy>
  <cp:lastPrinted>2016-01-12T13:43:52Z</cp:lastPrinted>
  <dcterms:created xsi:type="dcterms:W3CDTF">2008-10-07T08:49:59Z</dcterms:created>
  <dcterms:modified xsi:type="dcterms:W3CDTF">2017-10-03T07:50:51Z</dcterms:modified>
  <cp:category/>
  <cp:version/>
  <cp:contentType/>
  <cp:contentStatus/>
</cp:coreProperties>
</file>