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1"/>
  </bookViews>
  <sheets>
    <sheet name="Datos" sheetId="1" r:id="rId1"/>
    <sheet name="Evol. Prod. eléc. renovables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<sst xmlns="http://schemas.openxmlformats.org/spreadsheetml/2006/main" count="13" uniqueCount="13">
  <si>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PRODUCCIÓN ELÉCTRICA</t>
  </si>
  <si>
    <t>TIPO DE PRODUCCIÓN</t>
  </si>
  <si>
    <t>PRODUCCIÓN HIDRÁULICA</t>
  </si>
  <si>
    <t>PRODUCCIÓN TÉRMICA (COGENERACIÓN)</t>
  </si>
  <si>
    <t>PRODUCCIÓN EÓLICA</t>
  </si>
  <si>
    <t>PRODUCCION SOLAR FOTOVOLTAICA</t>
  </si>
  <si>
    <t>PRODUCCION BIOMASA</t>
  </si>
  <si>
    <t>IMPORTACIÓN ELECTRICIDAD</t>
  </si>
  <si>
    <t>PÉRDIDAS</t>
  </si>
  <si>
    <t>PRODUCCIÓN ELECTRICIDAD</t>
  </si>
  <si>
    <t>PRODUCCIÓN ELECTRICIDAD SIN COGENERACIÓN</t>
  </si>
  <si>
    <t>CONSUMO ENERGÉTICO</t>
  </si>
  <si>
    <t>IMPORTACIÓN ELECTRICIDAD NETA (SIN PÉRDIDAS)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</si>
</sst>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.##0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_-* #,##0.0\ _P_t_s_-;\-* #,##0.0\ _P_t_s_-;_-* &quot;-&quot;\ _P_t_s_-;_-@_-"/>
    <numFmt numFmtId="181" formatCode="#,##0_ ;\-#,##0\ "/>
    <numFmt numFmtId="182" formatCode="#,##0\ _P_t_s"/>
    <numFmt numFmtId="183" formatCode="#,##0;[Red]#,##0"/>
    <numFmt numFmtId="184" formatCode="0.0000"/>
    <numFmt numFmtId="185" formatCode="0.000"/>
    <numFmt numFmtId="186" formatCode="0.0"/>
    <numFmt numFmtId="187" formatCode="0.0000000%"/>
    <numFmt numFmtId="188" formatCode="#,##0;[Red]\-#,##0"/>
    <numFmt numFmtId="189" formatCode="#,##0.0"/>
    <numFmt numFmtId="190" formatCode="#,##0.000"/>
  </numFmts>
  <fonts count="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8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16" applyNumberFormat="1" applyAlignment="1">
      <alignment/>
    </xf>
    <xf numFmtId="3" fontId="0" fillId="0" borderId="0" xfId="16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19" applyNumberFormat="1" applyAlignment="1">
      <alignment/>
    </xf>
    <xf numFmtId="175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EVOLUCIÓN DE PRODUCCIÓN ELÉCTRICA CON ENERGÍAS RENOVABLES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7975"/>
          <c:w val="0.923"/>
          <c:h val="0.80925"/>
        </c:manualLayout>
      </c:layout>
      <c:lineChart>
        <c:grouping val="standard"/>
        <c:varyColors val="0"/>
        <c:ser>
          <c:idx val="2"/>
          <c:order val="0"/>
          <c:tx>
            <c:strRef>
              <c:f>Datos!$A$5</c:f>
              <c:strCache>
                <c:ptCount val="1"/>
                <c:pt idx="0">
                  <c:v>PRODUCCIÓN HIDRÁULICA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Datos!$B$5:$P$5</c:f>
              <c:numCache>
                <c:ptCount val="15"/>
                <c:pt idx="0">
                  <c:v>287525</c:v>
                </c:pt>
                <c:pt idx="1">
                  <c:v>272508</c:v>
                </c:pt>
                <c:pt idx="2">
                  <c:v>331799</c:v>
                </c:pt>
                <c:pt idx="3">
                  <c:v>328509</c:v>
                </c:pt>
                <c:pt idx="4">
                  <c:v>400954</c:v>
                </c:pt>
                <c:pt idx="5">
                  <c:v>344024</c:v>
                </c:pt>
                <c:pt idx="6">
                  <c:v>398543</c:v>
                </c:pt>
                <c:pt idx="7">
                  <c:v>317408</c:v>
                </c:pt>
                <c:pt idx="8">
                  <c:v>452836</c:v>
                </c:pt>
                <c:pt idx="9">
                  <c:v>394611</c:v>
                </c:pt>
                <c:pt idx="10">
                  <c:v>496709</c:v>
                </c:pt>
                <c:pt idx="11">
                  <c:v>514212</c:v>
                </c:pt>
                <c:pt idx="12">
                  <c:v>504721.162</c:v>
                </c:pt>
                <c:pt idx="13">
                  <c:v>423367</c:v>
                </c:pt>
                <c:pt idx="14">
                  <c:v>465700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Datos!$A$7</c:f>
              <c:strCache>
                <c:ptCount val="1"/>
                <c:pt idx="0">
                  <c:v>PRODUCCIÓN EÓLICA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dLbls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Datos!$B$7:$P$7</c:f>
              <c:numCache>
                <c:ptCount val="15"/>
                <c:pt idx="6">
                  <c:v>0</c:v>
                </c:pt>
                <c:pt idx="7">
                  <c:v>13613</c:v>
                </c:pt>
                <c:pt idx="8">
                  <c:v>85586</c:v>
                </c:pt>
                <c:pt idx="9">
                  <c:v>206314</c:v>
                </c:pt>
                <c:pt idx="10">
                  <c:v>422304</c:v>
                </c:pt>
                <c:pt idx="11">
                  <c:v>719580</c:v>
                </c:pt>
                <c:pt idx="12">
                  <c:v>1003353.499</c:v>
                </c:pt>
                <c:pt idx="13">
                  <c:v>1378645</c:v>
                </c:pt>
                <c:pt idx="14">
                  <c:v>1580866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Datos!$A$8</c:f>
              <c:strCache>
                <c:ptCount val="1"/>
                <c:pt idx="0">
                  <c:v>PRODUCCION SOLAR FOTOVOLTAICA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Datos!$B$8:$P$8</c:f>
              <c:numCache>
                <c:ptCount val="15"/>
                <c:pt idx="12">
                  <c:v>42.761</c:v>
                </c:pt>
                <c:pt idx="13">
                  <c:v>308</c:v>
                </c:pt>
                <c:pt idx="14">
                  <c:v>1539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Datos!$A$9</c:f>
              <c:strCache>
                <c:ptCount val="1"/>
                <c:pt idx="0">
                  <c:v>PRODUCCION BIOMASA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Datos!$B$9:$P$9</c:f>
              <c:numCache>
                <c:ptCount val="15"/>
                <c:pt idx="14">
                  <c:v>48197</c:v>
                </c:pt>
              </c:numCache>
            </c:numRef>
          </c:val>
          <c:smooth val="0"/>
        </c:ser>
        <c:ser>
          <c:idx val="0"/>
          <c:order val="4"/>
          <c:tx>
            <c:v>TOTAL PRODUCCIÓN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Datos!$B$3:$P$3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Datos!$B$14:$P$14</c:f>
              <c:numCache>
                <c:ptCount val="15"/>
                <c:pt idx="0">
                  <c:v>287525</c:v>
                </c:pt>
                <c:pt idx="1">
                  <c:v>272508</c:v>
                </c:pt>
                <c:pt idx="2">
                  <c:v>331799</c:v>
                </c:pt>
                <c:pt idx="3">
                  <c:v>328509</c:v>
                </c:pt>
                <c:pt idx="4">
                  <c:v>400954</c:v>
                </c:pt>
                <c:pt idx="5">
                  <c:v>344024</c:v>
                </c:pt>
                <c:pt idx="6">
                  <c:v>398543</c:v>
                </c:pt>
                <c:pt idx="7">
                  <c:v>331021</c:v>
                </c:pt>
                <c:pt idx="8">
                  <c:v>538422</c:v>
                </c:pt>
                <c:pt idx="9">
                  <c:v>600925</c:v>
                </c:pt>
                <c:pt idx="10">
                  <c:v>919013</c:v>
                </c:pt>
                <c:pt idx="11">
                  <c:v>1233792</c:v>
                </c:pt>
                <c:pt idx="12">
                  <c:v>1508117.4219999998</c:v>
                </c:pt>
                <c:pt idx="13">
                  <c:v>1802320</c:v>
                </c:pt>
                <c:pt idx="14">
                  <c:v>2096302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22429"/>
        <c:crosses val="autoZero"/>
        <c:auto val="1"/>
        <c:lblOffset val="100"/>
        <c:noMultiLvlLbl val="0"/>
      </c:catAx>
      <c:valAx>
        <c:axId val="10322429"/>
        <c:scaling>
          <c:orientation val="minMax"/>
          <c:max val="22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99260"/>
        <c:crossesAt val="1"/>
        <c:crossBetween val="midCat"/>
        <c:dispUnits/>
        <c:majorUnit val="200000"/>
        <c:minorUnit val="4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47"/>
          <c:w val="0.915"/>
          <c:h val="0.03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12"/>
  <sheetViews>
    <sheetView tabSelected="1" workbookViewId="0" zoomScale="75"/>
  </sheetViews>
  <pageMargins left="0.7874015748031497" right="0.7874015748031497" top="0.7874015748031497" bottom="0.7874015748031497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6096000"/>
    <xdr:graphicFrame>
      <xdr:nvGraphicFramePr>
        <xdr:cNvPr id="1" name="Chart 1"/>
        <xdr:cNvGraphicFramePr/>
      </xdr:nvGraphicFramePr>
      <xdr:xfrm>
        <a:off x="0" y="0"/>
        <a:ext cx="92202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"/>
    </sheetView>
  </sheetViews>
  <sheetFormatPr defaultColWidth="11.421875" defaultRowHeight="12.75"/>
  <cols>
    <col min="1" max="1" width="48.57421875" style="0" bestFit="1" customWidth="1"/>
  </cols>
  <sheetData>
    <row r="1" ht="12.75">
      <c r="A1" s="1" t="s">
        <v>0</v>
      </c>
    </row>
    <row r="2" ht="12.75">
      <c r="A2" s="2"/>
    </row>
    <row r="3" spans="1:16" ht="12.75">
      <c r="A3" s="2" t="s">
        <v>1</v>
      </c>
      <c r="B3">
        <v>1988</v>
      </c>
      <c r="C3">
        <v>1989</v>
      </c>
      <c r="D3">
        <v>1990</v>
      </c>
      <c r="E3">
        <v>1991</v>
      </c>
      <c r="F3">
        <v>1992</v>
      </c>
      <c r="G3">
        <v>1993</v>
      </c>
      <c r="H3">
        <v>1994</v>
      </c>
      <c r="I3">
        <v>1995</v>
      </c>
      <c r="J3">
        <v>1996</v>
      </c>
      <c r="K3">
        <v>1997</v>
      </c>
      <c r="L3">
        <v>1998</v>
      </c>
      <c r="M3">
        <v>1999</v>
      </c>
      <c r="N3">
        <v>2000</v>
      </c>
      <c r="O3">
        <v>2001</v>
      </c>
      <c r="P3">
        <v>2002</v>
      </c>
    </row>
    <row r="5" spans="1:16" ht="12.75">
      <c r="A5" t="s">
        <v>2</v>
      </c>
      <c r="B5" s="3">
        <v>287525</v>
      </c>
      <c r="C5" s="3">
        <v>272508</v>
      </c>
      <c r="D5" s="3">
        <v>331799</v>
      </c>
      <c r="E5" s="3">
        <v>328509</v>
      </c>
      <c r="F5" s="3">
        <v>400954</v>
      </c>
      <c r="G5" s="3">
        <v>344024</v>
      </c>
      <c r="H5" s="3">
        <v>398543</v>
      </c>
      <c r="I5" s="3">
        <v>317408</v>
      </c>
      <c r="J5" s="3">
        <v>452836</v>
      </c>
      <c r="K5" s="3">
        <v>394611</v>
      </c>
      <c r="L5" s="3">
        <v>496709</v>
      </c>
      <c r="M5" s="3">
        <v>514212</v>
      </c>
      <c r="N5" s="3">
        <f>504721162/1000</f>
        <v>504721.162</v>
      </c>
      <c r="O5" s="4">
        <v>423367</v>
      </c>
      <c r="P5" s="4">
        <v>465700</v>
      </c>
    </row>
    <row r="6" spans="1:14" ht="12.75">
      <c r="A6" t="s">
        <v>3</v>
      </c>
      <c r="B6" s="3">
        <v>59868</v>
      </c>
      <c r="C6" s="3">
        <v>61816</v>
      </c>
      <c r="D6" s="3">
        <v>65256</v>
      </c>
      <c r="E6" s="3">
        <v>83411</v>
      </c>
      <c r="F6" s="3">
        <v>104211</v>
      </c>
      <c r="G6" s="3">
        <v>121022</v>
      </c>
      <c r="H6" s="3">
        <v>199516</v>
      </c>
      <c r="I6" s="3">
        <v>221261</v>
      </c>
      <c r="J6" s="3">
        <v>275979</v>
      </c>
      <c r="K6" s="3">
        <v>345297</v>
      </c>
      <c r="L6" s="3">
        <v>375214</v>
      </c>
      <c r="M6" s="3">
        <v>394091</v>
      </c>
      <c r="N6" s="3">
        <f>465068701/1000</f>
        <v>465068.701</v>
      </c>
    </row>
    <row r="7" spans="1:16" ht="12.75">
      <c r="A7" t="s">
        <v>4</v>
      </c>
      <c r="B7" s="3"/>
      <c r="C7" s="3"/>
      <c r="D7" s="3"/>
      <c r="E7" s="3"/>
      <c r="F7" s="3"/>
      <c r="G7" s="3"/>
      <c r="H7" s="3">
        <v>0</v>
      </c>
      <c r="I7" s="3">
        <v>13613</v>
      </c>
      <c r="J7" s="3">
        <v>85586</v>
      </c>
      <c r="K7" s="3">
        <v>206314</v>
      </c>
      <c r="L7" s="3">
        <v>422304</v>
      </c>
      <c r="M7" s="3">
        <v>719580</v>
      </c>
      <c r="N7" s="3">
        <f>1003353499/1000</f>
        <v>1003353.499</v>
      </c>
      <c r="O7" s="4">
        <v>1378645</v>
      </c>
      <c r="P7" s="4">
        <v>1580866</v>
      </c>
    </row>
    <row r="8" spans="1:16" ht="12.75">
      <c r="A8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>
        <f>42761/1000</f>
        <v>42.761</v>
      </c>
      <c r="O8" s="4">
        <v>308</v>
      </c>
      <c r="P8" s="4">
        <v>1539</v>
      </c>
    </row>
    <row r="9" spans="1:16" ht="12.75">
      <c r="A9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4"/>
      <c r="P9" s="4">
        <v>48197</v>
      </c>
    </row>
    <row r="10" spans="1:14" ht="12.75">
      <c r="A10" t="s">
        <v>7</v>
      </c>
      <c r="B10" s="3">
        <f>185552/0.086</f>
        <v>2157581.3953488376</v>
      </c>
      <c r="C10" s="3">
        <f>198535/0.086</f>
        <v>2308546.511627907</v>
      </c>
      <c r="D10" s="3">
        <f>197090/0.086</f>
        <v>2291744.186046512</v>
      </c>
      <c r="E10" s="3">
        <f>202139/0.086</f>
        <v>2350453.488372093</v>
      </c>
      <c r="F10" s="3">
        <f>195194/0.086</f>
        <v>2269697.674418605</v>
      </c>
      <c r="G10" s="3">
        <f>204631/0.086</f>
        <v>2379430.2325581396</v>
      </c>
      <c r="H10" s="3">
        <f>188117/0.086</f>
        <v>2187406.976744186</v>
      </c>
      <c r="I10" s="3">
        <f>210399/0.086</f>
        <v>2446500</v>
      </c>
      <c r="J10" s="3">
        <f>207764/0.086</f>
        <v>2415860.465116279</v>
      </c>
      <c r="K10" s="3">
        <f>209965/0.086</f>
        <v>2441453.488372093</v>
      </c>
      <c r="L10" s="3">
        <f>196495/0.086</f>
        <v>2284825.581395349</v>
      </c>
      <c r="M10" s="3">
        <f>171177/0.086</f>
        <v>1990430.2325581396</v>
      </c>
      <c r="N10" s="3">
        <f>168280/0.086</f>
        <v>1956744.1860465119</v>
      </c>
    </row>
    <row r="11" spans="1:14" ht="12.75">
      <c r="A11" t="s">
        <v>8</v>
      </c>
      <c r="B11" s="3">
        <f>21449/0.086</f>
        <v>249406.97674418607</v>
      </c>
      <c r="C11" s="3">
        <f>22641/0.086</f>
        <v>263267.44186046516</v>
      </c>
      <c r="D11" s="3">
        <f>23014/0.086</f>
        <v>267604.6511627907</v>
      </c>
      <c r="E11" s="3">
        <f>23507/0.086</f>
        <v>273337.2093023256</v>
      </c>
      <c r="F11" s="3">
        <f>23462/0.086</f>
        <v>272813.9534883721</v>
      </c>
      <c r="G11" s="3">
        <f>23875/0.086</f>
        <v>277616.27906976745</v>
      </c>
      <c r="H11" s="3">
        <f>24944/0.086</f>
        <v>290046.511627907</v>
      </c>
      <c r="I11" s="3">
        <f>26898/0.086</f>
        <v>312767.44186046516</v>
      </c>
      <c r="J11" s="3">
        <f>27780/0.086</f>
        <v>323023.2558139535</v>
      </c>
      <c r="K11" s="3">
        <f>29134/0.086</f>
        <v>338767.44186046516</v>
      </c>
      <c r="L11" s="3">
        <f>30780/0.086</f>
        <v>357906.9767441861</v>
      </c>
      <c r="M11" s="3">
        <f>24539/0.086</f>
        <v>285337.2093023256</v>
      </c>
      <c r="N11" s="3">
        <f>26653/0.086</f>
        <v>309918.6046511628</v>
      </c>
    </row>
    <row r="13" spans="1:16" ht="12.75">
      <c r="A13" t="s">
        <v>9</v>
      </c>
      <c r="B13" s="5">
        <f aca="true" t="shared" si="0" ref="B13:L13">SUM(B5:B9)</f>
        <v>347393</v>
      </c>
      <c r="C13" s="5">
        <f t="shared" si="0"/>
        <v>334324</v>
      </c>
      <c r="D13" s="5">
        <f t="shared" si="0"/>
        <v>397055</v>
      </c>
      <c r="E13" s="5">
        <f t="shared" si="0"/>
        <v>411920</v>
      </c>
      <c r="F13" s="5">
        <f t="shared" si="0"/>
        <v>505165</v>
      </c>
      <c r="G13" s="5">
        <f t="shared" si="0"/>
        <v>465046</v>
      </c>
      <c r="H13" s="5">
        <f t="shared" si="0"/>
        <v>598059</v>
      </c>
      <c r="I13" s="5">
        <f t="shared" si="0"/>
        <v>552282</v>
      </c>
      <c r="J13" s="5">
        <f t="shared" si="0"/>
        <v>814401</v>
      </c>
      <c r="K13" s="5">
        <f t="shared" si="0"/>
        <v>946222</v>
      </c>
      <c r="L13" s="5">
        <f t="shared" si="0"/>
        <v>1294227</v>
      </c>
      <c r="M13" s="5">
        <f>SUM(M5:M9)</f>
        <v>1627883</v>
      </c>
      <c r="N13" s="5">
        <f>SUM(N5:N9)</f>
        <v>1973186.123</v>
      </c>
      <c r="O13" s="5">
        <f>SUM(O5:O9)</f>
        <v>1802320</v>
      </c>
      <c r="P13" s="5">
        <f>SUM(P5:P9)</f>
        <v>2096302</v>
      </c>
    </row>
    <row r="14" spans="1:16" ht="12.75">
      <c r="A14" t="s">
        <v>10</v>
      </c>
      <c r="B14" s="5">
        <f>SUM(B5,B7:B9)</f>
        <v>287525</v>
      </c>
      <c r="C14" s="5">
        <f>SUM(C5,C7:C9)</f>
        <v>272508</v>
      </c>
      <c r="D14" s="5">
        <f aca="true" t="shared" si="1" ref="D14:P14">SUM(D5,D7:D9)</f>
        <v>331799</v>
      </c>
      <c r="E14" s="5">
        <f t="shared" si="1"/>
        <v>328509</v>
      </c>
      <c r="F14" s="5">
        <f t="shared" si="1"/>
        <v>400954</v>
      </c>
      <c r="G14" s="5">
        <f t="shared" si="1"/>
        <v>344024</v>
      </c>
      <c r="H14" s="5">
        <f t="shared" si="1"/>
        <v>398543</v>
      </c>
      <c r="I14" s="5">
        <f t="shared" si="1"/>
        <v>331021</v>
      </c>
      <c r="J14" s="5">
        <f t="shared" si="1"/>
        <v>538422</v>
      </c>
      <c r="K14" s="5">
        <f t="shared" si="1"/>
        <v>600925</v>
      </c>
      <c r="L14" s="5">
        <f t="shared" si="1"/>
        <v>919013</v>
      </c>
      <c r="M14" s="5">
        <f t="shared" si="1"/>
        <v>1233792</v>
      </c>
      <c r="N14" s="5">
        <f t="shared" si="1"/>
        <v>1508117.4219999998</v>
      </c>
      <c r="O14" s="5">
        <f t="shared" si="1"/>
        <v>1802320</v>
      </c>
      <c r="P14" s="5">
        <f t="shared" si="1"/>
        <v>2096302</v>
      </c>
    </row>
    <row r="15" spans="1:15" ht="12.75">
      <c r="A15" t="s">
        <v>11</v>
      </c>
      <c r="B15" s="5">
        <f>SUM(B5:B10)-B11</f>
        <v>2255567.4186046515</v>
      </c>
      <c r="C15" s="5">
        <f aca="true" t="shared" si="2" ref="C15:L15">SUM(C5:C10)-C11</f>
        <v>2379603.0697674416</v>
      </c>
      <c r="D15" s="5">
        <f t="shared" si="2"/>
        <v>2421194.5348837213</v>
      </c>
      <c r="E15" s="5">
        <f t="shared" si="2"/>
        <v>2489036.2790697673</v>
      </c>
      <c r="F15" s="5">
        <f t="shared" si="2"/>
        <v>2502048.7209302327</v>
      </c>
      <c r="G15" s="5">
        <f t="shared" si="2"/>
        <v>2566859.9534883723</v>
      </c>
      <c r="H15" s="5">
        <f t="shared" si="2"/>
        <v>2495419.465116279</v>
      </c>
      <c r="I15" s="5">
        <f t="shared" si="2"/>
        <v>2686014.5581395347</v>
      </c>
      <c r="J15" s="5">
        <f t="shared" si="2"/>
        <v>2907238.2093023257</v>
      </c>
      <c r="K15" s="5">
        <f t="shared" si="2"/>
        <v>3048908.0465116277</v>
      </c>
      <c r="L15" s="5">
        <f t="shared" si="2"/>
        <v>3221145.604651163</v>
      </c>
      <c r="M15" s="5">
        <f>SUM(M5:M10)-M11</f>
        <v>3332976.023255814</v>
      </c>
      <c r="N15" s="5">
        <f>SUM(N5:N10)-N11</f>
        <v>3620011.7043953487</v>
      </c>
      <c r="O15" s="6">
        <f>N7/N15</f>
        <v>0.27716857870424766</v>
      </c>
    </row>
    <row r="16" spans="2:15" ht="12.75">
      <c r="B16" s="7">
        <f>B13/B15</f>
        <v>0.15401579094226575</v>
      </c>
      <c r="C16" s="7">
        <f aca="true" t="shared" si="3" ref="C16:N16">C13/C15</f>
        <v>0.14049570041640325</v>
      </c>
      <c r="D16" s="7">
        <f t="shared" si="3"/>
        <v>0.16399136636043526</v>
      </c>
      <c r="E16" s="7">
        <f t="shared" si="3"/>
        <v>0.16549377100841123</v>
      </c>
      <c r="F16" s="7">
        <f t="shared" si="3"/>
        <v>0.2019005448511752</v>
      </c>
      <c r="G16" s="7">
        <f t="shared" si="3"/>
        <v>0.18117310972419853</v>
      </c>
      <c r="H16" s="7">
        <f t="shared" si="3"/>
        <v>0.23966271336756292</v>
      </c>
      <c r="I16" s="7">
        <f t="shared" si="3"/>
        <v>0.20561392652411295</v>
      </c>
      <c r="J16" s="7">
        <f t="shared" si="3"/>
        <v>0.28012874809988086</v>
      </c>
      <c r="K16" s="7">
        <f t="shared" si="3"/>
        <v>0.3103478312776959</v>
      </c>
      <c r="L16" s="7">
        <f t="shared" si="3"/>
        <v>0.4017909026314132</v>
      </c>
      <c r="M16" s="7">
        <f t="shared" si="3"/>
        <v>0.4884172549221654</v>
      </c>
      <c r="N16" s="7">
        <f t="shared" si="3"/>
        <v>0.5450772771270864</v>
      </c>
      <c r="O16" s="6">
        <f>(N5+N7)/N15</f>
        <v>0.4165938632653935</v>
      </c>
    </row>
    <row r="17" spans="1:14" ht="12.75">
      <c r="A17" t="s">
        <v>12</v>
      </c>
      <c r="B17" s="5">
        <f aca="true" t="shared" si="4" ref="B17:N17">B15-B13</f>
        <v>1908174.4186046515</v>
      </c>
      <c r="C17" s="5">
        <f t="shared" si="4"/>
        <v>2045279.0697674416</v>
      </c>
      <c r="D17" s="5">
        <f t="shared" si="4"/>
        <v>2024139.5348837213</v>
      </c>
      <c r="E17" s="5">
        <f t="shared" si="4"/>
        <v>2077116.2790697673</v>
      </c>
      <c r="F17" s="5">
        <f t="shared" si="4"/>
        <v>1996883.7209302327</v>
      </c>
      <c r="G17" s="5">
        <f t="shared" si="4"/>
        <v>2101813.9534883723</v>
      </c>
      <c r="H17" s="5">
        <f t="shared" si="4"/>
        <v>1897360.4651162792</v>
      </c>
      <c r="I17" s="5">
        <f t="shared" si="4"/>
        <v>2133732.5581395347</v>
      </c>
      <c r="J17" s="5">
        <f t="shared" si="4"/>
        <v>2092837.2093023257</v>
      </c>
      <c r="K17" s="5">
        <f t="shared" si="4"/>
        <v>2102686.0465116277</v>
      </c>
      <c r="L17" s="5">
        <f t="shared" si="4"/>
        <v>1926918.6046511629</v>
      </c>
      <c r="M17" s="5">
        <f t="shared" si="4"/>
        <v>1705093.0232558139</v>
      </c>
      <c r="N17" s="5">
        <f t="shared" si="4"/>
        <v>1646825.5813953488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jmsotro</dc:creator>
  <cp:keywords/>
  <dc:description/>
  <cp:lastModifiedBy>N223552</cp:lastModifiedBy>
  <cp:lastPrinted>2003-09-05T09:57:29Z</cp:lastPrinted>
  <dcterms:created xsi:type="dcterms:W3CDTF">2003-09-05T09:56:10Z</dcterms:created>
  <dcterms:modified xsi:type="dcterms:W3CDTF">2003-09-05T10:04:09Z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